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R:\!CFY1920\Forms &amp; Instructions\3 Jury\Estimate\04_Apr-May-Jun_SFY1920_CFY1920-Q3 (Form No 4)\"/>
    </mc:Choice>
  </mc:AlternateContent>
  <xr:revisionPtr revIDLastSave="0" documentId="13_ncr:1_{F9361C4F-676E-4D3F-8034-5308AE478A8B}" xr6:coauthVersionLast="44" xr6:coauthVersionMax="44" xr10:uidLastSave="{00000000-0000-0000-0000-000000000000}"/>
  <workbookProtection workbookAlgorithmName="SHA-512" workbookHashValue="TDu6u5k0lvLWiFksuvo3782x4wzM2XwwT+u13Y/iOOdFHsGM+JLlOs/OiVjzQs2NXnnaaA+mIBuw9DUQutyVzQ==" workbookSaltValue="ViCdBf2ojRUCz6DO+epK8Q==" workbookSpinCount="100000" lockStructure="1"/>
  <bookViews>
    <workbookView xWindow="-120" yWindow="-120" windowWidth="29040" windowHeight="15840" tabRatio="753" xr2:uid="{00000000-000D-0000-FFFF-FFFF00000000}"/>
  </bookViews>
  <sheets>
    <sheet name="Estimate" sheetId="3" r:id="rId1"/>
    <sheet name="EstimatingTool" sheetId="8" r:id="rId2"/>
    <sheet name="JuryMgmtBudgetAuthorityLookUp" sheetId="22" state="hidden" r:id="rId3"/>
    <sheet name="JAC Lookup" sheetId="12" state="hidden" r:id="rId4"/>
    <sheet name="PriorActualsData" sheetId="14" state="hidden" r:id="rId5"/>
    <sheet name="ET -with CF" sheetId="21" state="hidden" r:id="rId6"/>
    <sheet name="Lookup_OverUnderExpended_8-6-19" sheetId="19" state="hidden" r:id="rId7"/>
    <sheet name="Clerk Jury Over-Under Exp Recon" sheetId="20" state="hidden" r:id="rId8"/>
    <sheet name="BasicLookupData" sheetId="6" state="hidden" r:id="rId9"/>
    <sheet name="ReportInfo" sheetId="7" state="hidden" r:id="rId10"/>
  </sheets>
  <definedNames>
    <definedName name="_xlnm._FilterDatabase" localSheetId="6" hidden="1">'Lookup_OverUnderExpended_8-6-19'!$A$3:$BY$74</definedName>
    <definedName name="CarryForward">'Clerk Jury Over-Under Exp Recon'!$I$21</definedName>
    <definedName name="CF">'Clerk Jury Over-Under Exp Recon'!$I$22</definedName>
    <definedName name="JuryHD">'Lookup_OverUnderExpended_8-6-19'!$A$4:$DH$71</definedName>
    <definedName name="_xlnm.Print_Area" localSheetId="3">'JAC Lookup'!$A$1:$H$72</definedName>
    <definedName name="_xlnm.Print_Titles" localSheetId="3">'JAC Lookup'!$1:$4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" i="22" l="1"/>
  <c r="P4" i="22"/>
  <c r="P5" i="22"/>
  <c r="P6" i="22"/>
  <c r="P7" i="22"/>
  <c r="P8" i="22"/>
  <c r="P9" i="22"/>
  <c r="P10" i="22"/>
  <c r="P11" i="22"/>
  <c r="P12" i="22"/>
  <c r="P13" i="22"/>
  <c r="P14" i="22"/>
  <c r="P15" i="22"/>
  <c r="P16" i="22"/>
  <c r="P17" i="22"/>
  <c r="P18" i="22"/>
  <c r="P19" i="22"/>
  <c r="P20" i="22"/>
  <c r="P21" i="22"/>
  <c r="P22" i="22"/>
  <c r="P23" i="22"/>
  <c r="P24" i="22"/>
  <c r="P25" i="22"/>
  <c r="P26" i="22"/>
  <c r="P27" i="22"/>
  <c r="P28" i="22"/>
  <c r="P29" i="22"/>
  <c r="P30" i="22"/>
  <c r="P31" i="22"/>
  <c r="P32" i="22"/>
  <c r="P33" i="22"/>
  <c r="P34" i="22"/>
  <c r="P35" i="22"/>
  <c r="P36" i="22"/>
  <c r="P37" i="22"/>
  <c r="P38" i="22"/>
  <c r="P39" i="22"/>
  <c r="P40" i="22"/>
  <c r="P41" i="22"/>
  <c r="P42" i="22"/>
  <c r="P43" i="22"/>
  <c r="P44" i="22"/>
  <c r="P45" i="22"/>
  <c r="P46" i="22"/>
  <c r="P47" i="22"/>
  <c r="P48" i="22"/>
  <c r="P49" i="22"/>
  <c r="P50" i="22"/>
  <c r="P51" i="22"/>
  <c r="P52" i="22"/>
  <c r="P53" i="22"/>
  <c r="P54" i="22"/>
  <c r="P55" i="22"/>
  <c r="P56" i="22"/>
  <c r="P57" i="22"/>
  <c r="P58" i="22"/>
  <c r="P59" i="22"/>
  <c r="P60" i="22"/>
  <c r="P61" i="22"/>
  <c r="P62" i="22"/>
  <c r="P63" i="22"/>
  <c r="P64" i="22"/>
  <c r="P65" i="22"/>
  <c r="P66" i="22"/>
  <c r="P67" i="22"/>
  <c r="P68" i="22"/>
  <c r="P69" i="22"/>
  <c r="Q4" i="22"/>
  <c r="Q5" i="22"/>
  <c r="Q6" i="22"/>
  <c r="Q7" i="22"/>
  <c r="Q8" i="22"/>
  <c r="Q9" i="22"/>
  <c r="Q10" i="22"/>
  <c r="Q11" i="22"/>
  <c r="Q12" i="22"/>
  <c r="Q13" i="22"/>
  <c r="Q14" i="22"/>
  <c r="Q15" i="22"/>
  <c r="Q16" i="22"/>
  <c r="Q17" i="22"/>
  <c r="Q18" i="22"/>
  <c r="Q19" i="22"/>
  <c r="Q20" i="22"/>
  <c r="Q21" i="22"/>
  <c r="Q22" i="22"/>
  <c r="Q23" i="22"/>
  <c r="Q24" i="22"/>
  <c r="Q25" i="22"/>
  <c r="Q26" i="22"/>
  <c r="Q27" i="22"/>
  <c r="Q28" i="22"/>
  <c r="Q29" i="22"/>
  <c r="Q30" i="22"/>
  <c r="Q31" i="22"/>
  <c r="Q32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45" i="22"/>
  <c r="Q46" i="22"/>
  <c r="Q47" i="22"/>
  <c r="Q48" i="22"/>
  <c r="Q49" i="22"/>
  <c r="Q50" i="22"/>
  <c r="Q51" i="22"/>
  <c r="Q52" i="22"/>
  <c r="Q53" i="22"/>
  <c r="Q54" i="22"/>
  <c r="Q55" i="22"/>
  <c r="Q56" i="22"/>
  <c r="Q57" i="22"/>
  <c r="Q58" i="22"/>
  <c r="Q59" i="22"/>
  <c r="Q60" i="22"/>
  <c r="Q61" i="22"/>
  <c r="Q62" i="22"/>
  <c r="Q63" i="22"/>
  <c r="Q64" i="22"/>
  <c r="Q65" i="22"/>
  <c r="Q66" i="22"/>
  <c r="Q67" i="22"/>
  <c r="Q68" i="22"/>
  <c r="Q69" i="22"/>
  <c r="Q3" i="22"/>
  <c r="L70" i="22"/>
  <c r="Q70" i="22" s="1"/>
  <c r="M70" i="22"/>
  <c r="N70" i="22"/>
  <c r="K70" i="22"/>
  <c r="Q71" i="22" l="1"/>
  <c r="Q72" i="22"/>
  <c r="P71" i="22"/>
  <c r="P70" i="22"/>
  <c r="J31" i="20"/>
  <c r="P72" i="22" l="1"/>
  <c r="I70" i="22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3" i="22"/>
  <c r="I71" i="22" l="1"/>
  <c r="I72" i="22" s="1"/>
  <c r="C70" i="22"/>
  <c r="CY62" i="19" l="1"/>
  <c r="DD62" i="19" s="1"/>
  <c r="CZ66" i="19"/>
  <c r="DE66" i="19" s="1"/>
  <c r="DA67" i="19"/>
  <c r="DB70" i="19"/>
  <c r="CE75" i="19"/>
  <c r="CW71" i="19"/>
  <c r="CV71" i="19"/>
  <c r="CU71" i="19"/>
  <c r="CT71" i="19"/>
  <c r="CR71" i="19"/>
  <c r="CQ71" i="19"/>
  <c r="CS72" i="19" s="1"/>
  <c r="CP71" i="19"/>
  <c r="CO71" i="19"/>
  <c r="CM71" i="19"/>
  <c r="CL71" i="19"/>
  <c r="CK71" i="19"/>
  <c r="CJ71" i="19"/>
  <c r="CH71" i="19"/>
  <c r="CG71" i="19"/>
  <c r="CF71" i="19"/>
  <c r="CE71" i="19"/>
  <c r="DA70" i="19"/>
  <c r="CZ70" i="19"/>
  <c r="DE70" i="19" s="1"/>
  <c r="CY70" i="19"/>
  <c r="DD70" i="19" s="1"/>
  <c r="CX70" i="19"/>
  <c r="CS70" i="19"/>
  <c r="CN70" i="19"/>
  <c r="CI70" i="19"/>
  <c r="DB69" i="19"/>
  <c r="DA69" i="19"/>
  <c r="CZ69" i="19"/>
  <c r="DE69" i="19" s="1"/>
  <c r="CY69" i="19"/>
  <c r="DD69" i="19" s="1"/>
  <c r="CX69" i="19"/>
  <c r="CS69" i="19"/>
  <c r="CN69" i="19"/>
  <c r="CI69" i="19"/>
  <c r="DB68" i="19"/>
  <c r="DA68" i="19"/>
  <c r="CZ68" i="19"/>
  <c r="DE68" i="19" s="1"/>
  <c r="CY68" i="19"/>
  <c r="DD68" i="19" s="1"/>
  <c r="CX68" i="19"/>
  <c r="CS68" i="19"/>
  <c r="CN68" i="19"/>
  <c r="CI68" i="19"/>
  <c r="DB67" i="19"/>
  <c r="CZ67" i="19"/>
  <c r="DE67" i="19" s="1"/>
  <c r="CY67" i="19"/>
  <c r="DD67" i="19" s="1"/>
  <c r="CX67" i="19"/>
  <c r="CS67" i="19"/>
  <c r="CN67" i="19"/>
  <c r="CI67" i="19"/>
  <c r="DB66" i="19"/>
  <c r="DA66" i="19"/>
  <c r="CY66" i="19"/>
  <c r="DD66" i="19" s="1"/>
  <c r="CX66" i="19"/>
  <c r="CS66" i="19"/>
  <c r="CN66" i="19"/>
  <c r="CI66" i="19"/>
  <c r="DB65" i="19"/>
  <c r="DA65" i="19"/>
  <c r="CZ65" i="19"/>
  <c r="DE65" i="19" s="1"/>
  <c r="CY65" i="19"/>
  <c r="DD65" i="19" s="1"/>
  <c r="CX65" i="19"/>
  <c r="CS65" i="19"/>
  <c r="CN65" i="19"/>
  <c r="CI65" i="19"/>
  <c r="DB64" i="19"/>
  <c r="DA64" i="19"/>
  <c r="CZ64" i="19"/>
  <c r="DE64" i="19" s="1"/>
  <c r="CY64" i="19"/>
  <c r="DD64" i="19" s="1"/>
  <c r="CX64" i="19"/>
  <c r="CS64" i="19"/>
  <c r="CN64" i="19"/>
  <c r="CI64" i="19"/>
  <c r="DB63" i="19"/>
  <c r="DA63" i="19"/>
  <c r="CZ63" i="19"/>
  <c r="DE63" i="19" s="1"/>
  <c r="CY63" i="19"/>
  <c r="DD63" i="19" s="1"/>
  <c r="CX63" i="19"/>
  <c r="CS63" i="19"/>
  <c r="CN63" i="19"/>
  <c r="CI63" i="19"/>
  <c r="DB62" i="19"/>
  <c r="DA62" i="19"/>
  <c r="CZ62" i="19"/>
  <c r="DE62" i="19" s="1"/>
  <c r="CX62" i="19"/>
  <c r="CS62" i="19"/>
  <c r="CN62" i="19"/>
  <c r="CI62" i="19"/>
  <c r="DB61" i="19"/>
  <c r="DA61" i="19"/>
  <c r="CZ61" i="19"/>
  <c r="DE61" i="19" s="1"/>
  <c r="CY61" i="19"/>
  <c r="DD61" i="19" s="1"/>
  <c r="CX61" i="19"/>
  <c r="CS61" i="19"/>
  <c r="CN61" i="19"/>
  <c r="CI61" i="19"/>
  <c r="DB60" i="19"/>
  <c r="DA60" i="19"/>
  <c r="CZ60" i="19"/>
  <c r="DE60" i="19" s="1"/>
  <c r="CY60" i="19"/>
  <c r="DD60" i="19" s="1"/>
  <c r="CX60" i="19"/>
  <c r="CS60" i="19"/>
  <c r="CN60" i="19"/>
  <c r="CI60" i="19"/>
  <c r="DB59" i="19"/>
  <c r="DA59" i="19"/>
  <c r="CZ59" i="19"/>
  <c r="DE59" i="19" s="1"/>
  <c r="CY59" i="19"/>
  <c r="DD59" i="19" s="1"/>
  <c r="CX59" i="19"/>
  <c r="CS59" i="19"/>
  <c r="CN59" i="19"/>
  <c r="CI59" i="19"/>
  <c r="DB58" i="19"/>
  <c r="DA58" i="19"/>
  <c r="CZ58" i="19"/>
  <c r="DE58" i="19" s="1"/>
  <c r="CY58" i="19"/>
  <c r="DD58" i="19" s="1"/>
  <c r="CX58" i="19"/>
  <c r="CS58" i="19"/>
  <c r="CN58" i="19"/>
  <c r="CI58" i="19"/>
  <c r="DB57" i="19"/>
  <c r="DA57" i="19"/>
  <c r="CZ57" i="19"/>
  <c r="DE57" i="19" s="1"/>
  <c r="CY57" i="19"/>
  <c r="DD57" i="19" s="1"/>
  <c r="CX57" i="19"/>
  <c r="CS57" i="19"/>
  <c r="CN57" i="19"/>
  <c r="CI57" i="19"/>
  <c r="DB56" i="19"/>
  <c r="DA56" i="19"/>
  <c r="CZ56" i="19"/>
  <c r="DE56" i="19" s="1"/>
  <c r="CY56" i="19"/>
  <c r="DD56" i="19" s="1"/>
  <c r="CX56" i="19"/>
  <c r="CS56" i="19"/>
  <c r="CN56" i="19"/>
  <c r="CI56" i="19"/>
  <c r="DB55" i="19"/>
  <c r="DA55" i="19"/>
  <c r="CZ55" i="19"/>
  <c r="DE55" i="19" s="1"/>
  <c r="CY55" i="19"/>
  <c r="DD55" i="19" s="1"/>
  <c r="CX55" i="19"/>
  <c r="CS55" i="19"/>
  <c r="CN55" i="19"/>
  <c r="CI55" i="19"/>
  <c r="DB54" i="19"/>
  <c r="DA54" i="19"/>
  <c r="CZ54" i="19"/>
  <c r="DE54" i="19" s="1"/>
  <c r="CY54" i="19"/>
  <c r="DD54" i="19" s="1"/>
  <c r="CX54" i="19"/>
  <c r="CS54" i="19"/>
  <c r="CN54" i="19"/>
  <c r="CI54" i="19"/>
  <c r="DB53" i="19"/>
  <c r="DA53" i="19"/>
  <c r="CZ53" i="19"/>
  <c r="DE53" i="19" s="1"/>
  <c r="CY53" i="19"/>
  <c r="DD53" i="19" s="1"/>
  <c r="CX53" i="19"/>
  <c r="CS53" i="19"/>
  <c r="CN53" i="19"/>
  <c r="CI53" i="19"/>
  <c r="DB52" i="19"/>
  <c r="DA52" i="19"/>
  <c r="CZ52" i="19"/>
  <c r="DE52" i="19" s="1"/>
  <c r="CY52" i="19"/>
  <c r="DD52" i="19" s="1"/>
  <c r="CX52" i="19"/>
  <c r="CS52" i="19"/>
  <c r="CN52" i="19"/>
  <c r="CI52" i="19"/>
  <c r="DB51" i="19"/>
  <c r="DA51" i="19"/>
  <c r="CZ51" i="19"/>
  <c r="DE51" i="19" s="1"/>
  <c r="CY51" i="19"/>
  <c r="DD51" i="19" s="1"/>
  <c r="CX51" i="19"/>
  <c r="CS51" i="19"/>
  <c r="CN51" i="19"/>
  <c r="CI51" i="19"/>
  <c r="DB50" i="19"/>
  <c r="DA50" i="19"/>
  <c r="CZ50" i="19"/>
  <c r="DE50" i="19" s="1"/>
  <c r="CY50" i="19"/>
  <c r="DD50" i="19" s="1"/>
  <c r="CX50" i="19"/>
  <c r="CS50" i="19"/>
  <c r="CN50" i="19"/>
  <c r="CI50" i="19"/>
  <c r="DB49" i="19"/>
  <c r="DA49" i="19"/>
  <c r="CZ49" i="19"/>
  <c r="DE49" i="19" s="1"/>
  <c r="CY49" i="19"/>
  <c r="DD49" i="19" s="1"/>
  <c r="CX49" i="19"/>
  <c r="CS49" i="19"/>
  <c r="CN49" i="19"/>
  <c r="CI49" i="19"/>
  <c r="DB48" i="19"/>
  <c r="DA48" i="19"/>
  <c r="CZ48" i="19"/>
  <c r="DE48" i="19" s="1"/>
  <c r="CY48" i="19"/>
  <c r="DD48" i="19" s="1"/>
  <c r="CX48" i="19"/>
  <c r="CS48" i="19"/>
  <c r="CN48" i="19"/>
  <c r="CI48" i="19"/>
  <c r="DB47" i="19"/>
  <c r="DA47" i="19"/>
  <c r="CZ47" i="19"/>
  <c r="DE47" i="19" s="1"/>
  <c r="CY47" i="19"/>
  <c r="DD47" i="19" s="1"/>
  <c r="CX47" i="19"/>
  <c r="CS47" i="19"/>
  <c r="CN47" i="19"/>
  <c r="CI47" i="19"/>
  <c r="DB46" i="19"/>
  <c r="DA46" i="19"/>
  <c r="CZ46" i="19"/>
  <c r="DE46" i="19" s="1"/>
  <c r="CY46" i="19"/>
  <c r="DD46" i="19" s="1"/>
  <c r="CX46" i="19"/>
  <c r="CS46" i="19"/>
  <c r="CN46" i="19"/>
  <c r="CI46" i="19"/>
  <c r="DB45" i="19"/>
  <c r="DA45" i="19"/>
  <c r="CZ45" i="19"/>
  <c r="DE45" i="19" s="1"/>
  <c r="CY45" i="19"/>
  <c r="DD45" i="19" s="1"/>
  <c r="CX45" i="19"/>
  <c r="CS45" i="19"/>
  <c r="CN45" i="19"/>
  <c r="CI45" i="19"/>
  <c r="DB44" i="19"/>
  <c r="DA44" i="19"/>
  <c r="CZ44" i="19"/>
  <c r="DE44" i="19" s="1"/>
  <c r="CY44" i="19"/>
  <c r="DD44" i="19" s="1"/>
  <c r="CX44" i="19"/>
  <c r="CS44" i="19"/>
  <c r="CN44" i="19"/>
  <c r="CI44" i="19"/>
  <c r="DB43" i="19"/>
  <c r="DA43" i="19"/>
  <c r="CZ43" i="19"/>
  <c r="DE43" i="19" s="1"/>
  <c r="CY43" i="19"/>
  <c r="DD43" i="19" s="1"/>
  <c r="CX43" i="19"/>
  <c r="CS43" i="19"/>
  <c r="CN43" i="19"/>
  <c r="CI43" i="19"/>
  <c r="DB42" i="19"/>
  <c r="DA42" i="19"/>
  <c r="CZ42" i="19"/>
  <c r="DE42" i="19" s="1"/>
  <c r="CY42" i="19"/>
  <c r="DD42" i="19" s="1"/>
  <c r="CX42" i="19"/>
  <c r="CS42" i="19"/>
  <c r="CN42" i="19"/>
  <c r="CI42" i="19"/>
  <c r="DB41" i="19"/>
  <c r="DA41" i="19"/>
  <c r="CZ41" i="19"/>
  <c r="DE41" i="19" s="1"/>
  <c r="CY41" i="19"/>
  <c r="DD41" i="19" s="1"/>
  <c r="CX41" i="19"/>
  <c r="CS41" i="19"/>
  <c r="CN41" i="19"/>
  <c r="CI41" i="19"/>
  <c r="DB40" i="19"/>
  <c r="DA40" i="19"/>
  <c r="CZ40" i="19"/>
  <c r="DE40" i="19" s="1"/>
  <c r="CY40" i="19"/>
  <c r="DD40" i="19" s="1"/>
  <c r="CX40" i="19"/>
  <c r="CS40" i="19"/>
  <c r="CN40" i="19"/>
  <c r="CI40" i="19"/>
  <c r="DB39" i="19"/>
  <c r="DA39" i="19"/>
  <c r="CZ39" i="19"/>
  <c r="DE39" i="19" s="1"/>
  <c r="CY39" i="19"/>
  <c r="DD39" i="19" s="1"/>
  <c r="CX39" i="19"/>
  <c r="CS39" i="19"/>
  <c r="CN39" i="19"/>
  <c r="CI39" i="19"/>
  <c r="DB38" i="19"/>
  <c r="DA38" i="19"/>
  <c r="CZ38" i="19"/>
  <c r="DE38" i="19" s="1"/>
  <c r="CY38" i="19"/>
  <c r="DD38" i="19" s="1"/>
  <c r="CX38" i="19"/>
  <c r="CS38" i="19"/>
  <c r="CN38" i="19"/>
  <c r="CI38" i="19"/>
  <c r="DB37" i="19"/>
  <c r="DA37" i="19"/>
  <c r="CZ37" i="19"/>
  <c r="DE37" i="19" s="1"/>
  <c r="CY37" i="19"/>
  <c r="DD37" i="19" s="1"/>
  <c r="CX37" i="19"/>
  <c r="CS37" i="19"/>
  <c r="CN37" i="19"/>
  <c r="CI37" i="19"/>
  <c r="DB36" i="19"/>
  <c r="DA36" i="19"/>
  <c r="CZ36" i="19"/>
  <c r="DE36" i="19" s="1"/>
  <c r="CY36" i="19"/>
  <c r="DD36" i="19" s="1"/>
  <c r="CX36" i="19"/>
  <c r="CS36" i="19"/>
  <c r="CN36" i="19"/>
  <c r="CI36" i="19"/>
  <c r="DB35" i="19"/>
  <c r="DA35" i="19"/>
  <c r="CZ35" i="19"/>
  <c r="DE35" i="19" s="1"/>
  <c r="CY35" i="19"/>
  <c r="DD35" i="19" s="1"/>
  <c r="CX35" i="19"/>
  <c r="CS35" i="19"/>
  <c r="CN35" i="19"/>
  <c r="CI35" i="19"/>
  <c r="DB34" i="19"/>
  <c r="DA34" i="19"/>
  <c r="CZ34" i="19"/>
  <c r="DE34" i="19" s="1"/>
  <c r="CY34" i="19"/>
  <c r="DD34" i="19" s="1"/>
  <c r="CX34" i="19"/>
  <c r="CS34" i="19"/>
  <c r="CN34" i="19"/>
  <c r="CI34" i="19"/>
  <c r="DB33" i="19"/>
  <c r="DA33" i="19"/>
  <c r="CZ33" i="19"/>
  <c r="DE33" i="19" s="1"/>
  <c r="CY33" i="19"/>
  <c r="DD33" i="19" s="1"/>
  <c r="CX33" i="19"/>
  <c r="CS33" i="19"/>
  <c r="CN33" i="19"/>
  <c r="CI33" i="19"/>
  <c r="DB32" i="19"/>
  <c r="DA32" i="19"/>
  <c r="CZ32" i="19"/>
  <c r="DE32" i="19" s="1"/>
  <c r="CY32" i="19"/>
  <c r="DD32" i="19" s="1"/>
  <c r="CX32" i="19"/>
  <c r="CS32" i="19"/>
  <c r="CN32" i="19"/>
  <c r="CI32" i="19"/>
  <c r="DB31" i="19"/>
  <c r="DA31" i="19"/>
  <c r="CZ31" i="19"/>
  <c r="DE31" i="19" s="1"/>
  <c r="CY31" i="19"/>
  <c r="DD31" i="19" s="1"/>
  <c r="CX31" i="19"/>
  <c r="CS31" i="19"/>
  <c r="CN31" i="19"/>
  <c r="CI31" i="19"/>
  <c r="DB30" i="19"/>
  <c r="DA30" i="19"/>
  <c r="CZ30" i="19"/>
  <c r="DE30" i="19" s="1"/>
  <c r="CY30" i="19"/>
  <c r="DD30" i="19" s="1"/>
  <c r="CX30" i="19"/>
  <c r="CS30" i="19"/>
  <c r="CN30" i="19"/>
  <c r="CI30" i="19"/>
  <c r="DB29" i="19"/>
  <c r="DA29" i="19"/>
  <c r="CZ29" i="19"/>
  <c r="DE29" i="19" s="1"/>
  <c r="CY29" i="19"/>
  <c r="DD29" i="19" s="1"/>
  <c r="CX29" i="19"/>
  <c r="CS29" i="19"/>
  <c r="CN29" i="19"/>
  <c r="CI29" i="19"/>
  <c r="DB28" i="19"/>
  <c r="DA28" i="19"/>
  <c r="CZ28" i="19"/>
  <c r="DE28" i="19" s="1"/>
  <c r="CY28" i="19"/>
  <c r="DD28" i="19" s="1"/>
  <c r="CX28" i="19"/>
  <c r="CS28" i="19"/>
  <c r="CN28" i="19"/>
  <c r="CI28" i="19"/>
  <c r="DB27" i="19"/>
  <c r="DA27" i="19"/>
  <c r="CZ27" i="19"/>
  <c r="DE27" i="19" s="1"/>
  <c r="CY27" i="19"/>
  <c r="DD27" i="19" s="1"/>
  <c r="CX27" i="19"/>
  <c r="CS27" i="19"/>
  <c r="CN27" i="19"/>
  <c r="CI27" i="19"/>
  <c r="DB26" i="19"/>
  <c r="DA26" i="19"/>
  <c r="CZ26" i="19"/>
  <c r="DE26" i="19" s="1"/>
  <c r="CY26" i="19"/>
  <c r="DD26" i="19" s="1"/>
  <c r="CX26" i="19"/>
  <c r="CS26" i="19"/>
  <c r="CN26" i="19"/>
  <c r="CI26" i="19"/>
  <c r="DB25" i="19"/>
  <c r="DA25" i="19"/>
  <c r="CZ25" i="19"/>
  <c r="DE25" i="19" s="1"/>
  <c r="CY25" i="19"/>
  <c r="DD25" i="19" s="1"/>
  <c r="CX25" i="19"/>
  <c r="CS25" i="19"/>
  <c r="CN25" i="19"/>
  <c r="CI25" i="19"/>
  <c r="DB24" i="19"/>
  <c r="DA24" i="19"/>
  <c r="CZ24" i="19"/>
  <c r="DE24" i="19" s="1"/>
  <c r="CY24" i="19"/>
  <c r="DD24" i="19" s="1"/>
  <c r="CX24" i="19"/>
  <c r="CS24" i="19"/>
  <c r="CN24" i="19"/>
  <c r="CI24" i="19"/>
  <c r="DB23" i="19"/>
  <c r="DA23" i="19"/>
  <c r="CZ23" i="19"/>
  <c r="DE23" i="19" s="1"/>
  <c r="CY23" i="19"/>
  <c r="DD23" i="19" s="1"/>
  <c r="CX23" i="19"/>
  <c r="CS23" i="19"/>
  <c r="CN23" i="19"/>
  <c r="CI23" i="19"/>
  <c r="DB22" i="19"/>
  <c r="DA22" i="19"/>
  <c r="CZ22" i="19"/>
  <c r="DE22" i="19" s="1"/>
  <c r="CY22" i="19"/>
  <c r="DD22" i="19" s="1"/>
  <c r="CX22" i="19"/>
  <c r="CS22" i="19"/>
  <c r="CN22" i="19"/>
  <c r="CI22" i="19"/>
  <c r="DB21" i="19"/>
  <c r="DA21" i="19"/>
  <c r="CZ21" i="19"/>
  <c r="DE21" i="19" s="1"/>
  <c r="CY21" i="19"/>
  <c r="DD21" i="19" s="1"/>
  <c r="CX21" i="19"/>
  <c r="CS21" i="19"/>
  <c r="CN21" i="19"/>
  <c r="CI21" i="19"/>
  <c r="DB20" i="19"/>
  <c r="DA20" i="19"/>
  <c r="CZ20" i="19"/>
  <c r="DE20" i="19" s="1"/>
  <c r="CY20" i="19"/>
  <c r="DD20" i="19" s="1"/>
  <c r="CX20" i="19"/>
  <c r="CS20" i="19"/>
  <c r="CN20" i="19"/>
  <c r="CI20" i="19"/>
  <c r="DB19" i="19"/>
  <c r="DA19" i="19"/>
  <c r="CZ19" i="19"/>
  <c r="DE19" i="19" s="1"/>
  <c r="CY19" i="19"/>
  <c r="DD19" i="19" s="1"/>
  <c r="CX19" i="19"/>
  <c r="CS19" i="19"/>
  <c r="CN19" i="19"/>
  <c r="CI19" i="19"/>
  <c r="DB18" i="19"/>
  <c r="DA18" i="19"/>
  <c r="CZ18" i="19"/>
  <c r="DE18" i="19" s="1"/>
  <c r="CY18" i="19"/>
  <c r="DD18" i="19" s="1"/>
  <c r="CX18" i="19"/>
  <c r="CS18" i="19"/>
  <c r="CN18" i="19"/>
  <c r="CI18" i="19"/>
  <c r="DB17" i="19"/>
  <c r="DA17" i="19"/>
  <c r="CZ17" i="19"/>
  <c r="DE17" i="19" s="1"/>
  <c r="CY17" i="19"/>
  <c r="DD17" i="19" s="1"/>
  <c r="CX17" i="19"/>
  <c r="CS17" i="19"/>
  <c r="CN17" i="19"/>
  <c r="CI17" i="19"/>
  <c r="DB16" i="19"/>
  <c r="DA16" i="19"/>
  <c r="CZ16" i="19"/>
  <c r="DE16" i="19" s="1"/>
  <c r="CY16" i="19"/>
  <c r="DD16" i="19" s="1"/>
  <c r="CX16" i="19"/>
  <c r="CS16" i="19"/>
  <c r="CN16" i="19"/>
  <c r="CI16" i="19"/>
  <c r="DB15" i="19"/>
  <c r="DA15" i="19"/>
  <c r="CZ15" i="19"/>
  <c r="DE15" i="19" s="1"/>
  <c r="CY15" i="19"/>
  <c r="DD15" i="19" s="1"/>
  <c r="CX15" i="19"/>
  <c r="CS15" i="19"/>
  <c r="CN15" i="19"/>
  <c r="CI15" i="19"/>
  <c r="DB14" i="19"/>
  <c r="DA14" i="19"/>
  <c r="CZ14" i="19"/>
  <c r="DE14" i="19" s="1"/>
  <c r="CY14" i="19"/>
  <c r="DD14" i="19" s="1"/>
  <c r="CX14" i="19"/>
  <c r="CS14" i="19"/>
  <c r="CN14" i="19"/>
  <c r="CI14" i="19"/>
  <c r="DB13" i="19"/>
  <c r="DA13" i="19"/>
  <c r="CZ13" i="19"/>
  <c r="DE13" i="19" s="1"/>
  <c r="CY13" i="19"/>
  <c r="DD13" i="19" s="1"/>
  <c r="CX13" i="19"/>
  <c r="CS13" i="19"/>
  <c r="CN13" i="19"/>
  <c r="CI13" i="19"/>
  <c r="DB12" i="19"/>
  <c r="DA12" i="19"/>
  <c r="CZ12" i="19"/>
  <c r="DE12" i="19" s="1"/>
  <c r="CY12" i="19"/>
  <c r="DD12" i="19" s="1"/>
  <c r="CX12" i="19"/>
  <c r="CS12" i="19"/>
  <c r="CN12" i="19"/>
  <c r="CI12" i="19"/>
  <c r="DB11" i="19"/>
  <c r="DA11" i="19"/>
  <c r="CZ11" i="19"/>
  <c r="DE11" i="19" s="1"/>
  <c r="CY11" i="19"/>
  <c r="DD11" i="19" s="1"/>
  <c r="CX11" i="19"/>
  <c r="CS11" i="19"/>
  <c r="CN11" i="19"/>
  <c r="CI11" i="19"/>
  <c r="DB10" i="19"/>
  <c r="DA10" i="19"/>
  <c r="CZ10" i="19"/>
  <c r="DE10" i="19" s="1"/>
  <c r="CY10" i="19"/>
  <c r="DD10" i="19" s="1"/>
  <c r="CX10" i="19"/>
  <c r="CS10" i="19"/>
  <c r="CN10" i="19"/>
  <c r="CI10" i="19"/>
  <c r="DB9" i="19"/>
  <c r="DA9" i="19"/>
  <c r="CZ9" i="19"/>
  <c r="DE9" i="19" s="1"/>
  <c r="CY9" i="19"/>
  <c r="DD9" i="19" s="1"/>
  <c r="CX9" i="19"/>
  <c r="CS9" i="19"/>
  <c r="CN9" i="19"/>
  <c r="CI9" i="19"/>
  <c r="DB8" i="19"/>
  <c r="DA8" i="19"/>
  <c r="CZ8" i="19"/>
  <c r="DE8" i="19" s="1"/>
  <c r="CY8" i="19"/>
  <c r="DD8" i="19" s="1"/>
  <c r="CX8" i="19"/>
  <c r="CS8" i="19"/>
  <c r="CN8" i="19"/>
  <c r="CI8" i="19"/>
  <c r="DB7" i="19"/>
  <c r="DA7" i="19"/>
  <c r="CZ7" i="19"/>
  <c r="DE7" i="19" s="1"/>
  <c r="CY7" i="19"/>
  <c r="DD7" i="19" s="1"/>
  <c r="CX7" i="19"/>
  <c r="CS7" i="19"/>
  <c r="CN7" i="19"/>
  <c r="CI7" i="19"/>
  <c r="DB6" i="19"/>
  <c r="DA6" i="19"/>
  <c r="CZ6" i="19"/>
  <c r="DE6" i="19" s="1"/>
  <c r="CY6" i="19"/>
  <c r="DD6" i="19" s="1"/>
  <c r="CX6" i="19"/>
  <c r="CS6" i="19"/>
  <c r="CN6" i="19"/>
  <c r="CI6" i="19"/>
  <c r="DB5" i="19"/>
  <c r="DA5" i="19"/>
  <c r="CZ5" i="19"/>
  <c r="DE5" i="19" s="1"/>
  <c r="CY5" i="19"/>
  <c r="DD5" i="19" s="1"/>
  <c r="CX5" i="19"/>
  <c r="CS5" i="19"/>
  <c r="CN5" i="19"/>
  <c r="CI5" i="19"/>
  <c r="DB4" i="19"/>
  <c r="DA4" i="19"/>
  <c r="CZ4" i="19"/>
  <c r="DE4" i="19" s="1"/>
  <c r="CY4" i="19"/>
  <c r="DD4" i="19" s="1"/>
  <c r="CX4" i="19"/>
  <c r="CS4" i="19"/>
  <c r="CN4" i="19"/>
  <c r="CI4" i="19"/>
  <c r="CI77" i="19" l="1"/>
  <c r="DC61" i="19"/>
  <c r="DC69" i="19"/>
  <c r="DC4" i="19"/>
  <c r="DC11" i="19"/>
  <c r="DC12" i="19"/>
  <c r="DC13" i="19"/>
  <c r="DC20" i="19"/>
  <c r="DC21" i="19"/>
  <c r="DC22" i="19"/>
  <c r="DC23" i="19"/>
  <c r="DC24" i="19"/>
  <c r="DC25" i="19"/>
  <c r="DC26" i="19"/>
  <c r="DC27" i="19"/>
  <c r="DC28" i="19"/>
  <c r="DC60" i="19"/>
  <c r="CI72" i="19"/>
  <c r="CS75" i="19"/>
  <c r="CT75" i="19" s="1"/>
  <c r="DC48" i="19"/>
  <c r="DC37" i="19"/>
  <c r="DC5" i="19"/>
  <c r="DC29" i="19"/>
  <c r="DC30" i="19"/>
  <c r="DC31" i="19"/>
  <c r="DC32" i="19"/>
  <c r="DC33" i="19"/>
  <c r="DC34" i="19"/>
  <c r="DC35" i="19"/>
  <c r="DC36" i="19"/>
  <c r="DC38" i="19"/>
  <c r="DC39" i="19"/>
  <c r="DC40" i="19"/>
  <c r="DC41" i="19"/>
  <c r="DC42" i="19"/>
  <c r="DC43" i="19"/>
  <c r="DC44" i="19"/>
  <c r="DC45" i="19"/>
  <c r="DC70" i="19"/>
  <c r="CI71" i="19"/>
  <c r="DC52" i="19"/>
  <c r="DC53" i="19"/>
  <c r="DC54" i="19"/>
  <c r="DC55" i="19"/>
  <c r="DC56" i="19"/>
  <c r="DC57" i="19"/>
  <c r="DC58" i="19"/>
  <c r="DC59" i="19"/>
  <c r="CN77" i="19"/>
  <c r="DC63" i="19"/>
  <c r="DC64" i="19"/>
  <c r="DC65" i="19"/>
  <c r="DC66" i="19"/>
  <c r="DC67" i="19"/>
  <c r="DC68" i="19"/>
  <c r="CX71" i="19"/>
  <c r="CX75" i="19"/>
  <c r="CY75" i="19" s="1"/>
  <c r="CX72" i="19"/>
  <c r="DC6" i="19"/>
  <c r="DC8" i="19"/>
  <c r="DC9" i="19"/>
  <c r="DC10" i="19"/>
  <c r="CY71" i="19"/>
  <c r="CZ71" i="19"/>
  <c r="CN76" i="19"/>
  <c r="CN78" i="19" s="1"/>
  <c r="CS71" i="19"/>
  <c r="DB71" i="19"/>
  <c r="DC62" i="19"/>
  <c r="CN72" i="19"/>
  <c r="DA71" i="19"/>
  <c r="DC14" i="19"/>
  <c r="DC15" i="19"/>
  <c r="DC16" i="19"/>
  <c r="DC17" i="19"/>
  <c r="DC18" i="19"/>
  <c r="DC19" i="19"/>
  <c r="DC46" i="19"/>
  <c r="DC47" i="19"/>
  <c r="DC49" i="19"/>
  <c r="DC50" i="19"/>
  <c r="DC51" i="19"/>
  <c r="CI75" i="19"/>
  <c r="CJ75" i="19" s="1"/>
  <c r="CS77" i="19"/>
  <c r="DC7" i="19"/>
  <c r="CI76" i="19"/>
  <c r="CX77" i="19"/>
  <c r="CN71" i="19"/>
  <c r="CN75" i="19"/>
  <c r="CO75" i="19" s="1"/>
  <c r="CS76" i="19"/>
  <c r="CX76" i="19"/>
  <c r="G45" i="7"/>
  <c r="G44" i="7"/>
  <c r="G36" i="7"/>
  <c r="G35" i="7"/>
  <c r="G34" i="7"/>
  <c r="G33" i="7"/>
  <c r="G32" i="7"/>
  <c r="G31" i="7"/>
  <c r="G30" i="7"/>
  <c r="G29" i="7"/>
  <c r="G28" i="7"/>
  <c r="G27" i="7"/>
  <c r="G26" i="7"/>
  <c r="H25" i="7"/>
  <c r="G25" i="7"/>
  <c r="G24" i="7"/>
  <c r="G23" i="7"/>
  <c r="B23" i="7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G22" i="7"/>
  <c r="B22" i="7"/>
  <c r="G21" i="7"/>
  <c r="B9" i="7"/>
  <c r="B8" i="7"/>
  <c r="B7" i="7"/>
  <c r="E1" i="7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Q13" i="6"/>
  <c r="Q12" i="6"/>
  <c r="Q11" i="6"/>
  <c r="Q10" i="6"/>
  <c r="Q9" i="6"/>
  <c r="Q8" i="6"/>
  <c r="Q7" i="6"/>
  <c r="Q6" i="6"/>
  <c r="Q5" i="6"/>
  <c r="J5" i="6"/>
  <c r="Q4" i="6"/>
  <c r="J4" i="6"/>
  <c r="Q3" i="6"/>
  <c r="J3" i="6"/>
  <c r="Q2" i="6"/>
  <c r="J2" i="6"/>
  <c r="J25" i="20"/>
  <c r="J19" i="20"/>
  <c r="J12" i="20"/>
  <c r="J5" i="20"/>
  <c r="B2" i="20"/>
  <c r="G72" i="19"/>
  <c r="BX71" i="19"/>
  <c r="BW71" i="19"/>
  <c r="BV71" i="19"/>
  <c r="BU71" i="19"/>
  <c r="BS71" i="19"/>
  <c r="BR71" i="19"/>
  <c r="BQ71" i="19"/>
  <c r="BP71" i="19"/>
  <c r="BN71" i="19"/>
  <c r="BM71" i="19"/>
  <c r="BL71" i="19"/>
  <c r="BK71" i="19"/>
  <c r="BI71" i="19"/>
  <c r="BH71" i="19"/>
  <c r="BG71" i="19"/>
  <c r="BF71" i="19"/>
  <c r="AY71" i="19"/>
  <c r="AZ77" i="19" s="1"/>
  <c r="AX71" i="19"/>
  <c r="AW71" i="19"/>
  <c r="AZ75" i="19" s="1"/>
  <c r="BA75" i="19" s="1"/>
  <c r="AV71" i="19"/>
  <c r="AT71" i="19"/>
  <c r="AS71" i="19"/>
  <c r="AR71" i="19"/>
  <c r="AQ71" i="19"/>
  <c r="AO71" i="19"/>
  <c r="AN71" i="19"/>
  <c r="AM71" i="19"/>
  <c r="AL71" i="19"/>
  <c r="AJ71" i="19"/>
  <c r="AI71" i="19"/>
  <c r="AH71" i="19"/>
  <c r="AG71" i="19"/>
  <c r="Z71" i="19"/>
  <c r="Y71" i="19"/>
  <c r="X71" i="19"/>
  <c r="W71" i="19"/>
  <c r="U71" i="19"/>
  <c r="T71" i="19"/>
  <c r="S71" i="19"/>
  <c r="R71" i="19"/>
  <c r="P71" i="19"/>
  <c r="O71" i="19"/>
  <c r="N71" i="19"/>
  <c r="M71" i="19"/>
  <c r="K71" i="19"/>
  <c r="J71" i="19"/>
  <c r="I71" i="19"/>
  <c r="H71" i="19"/>
  <c r="L75" i="19" s="1"/>
  <c r="M75" i="19" s="1"/>
  <c r="F71" i="19"/>
  <c r="E71" i="19"/>
  <c r="D71" i="19"/>
  <c r="C71" i="19"/>
  <c r="CC70" i="19"/>
  <c r="DG70" i="19" s="1"/>
  <c r="CB70" i="19"/>
  <c r="DF70" i="19" s="1"/>
  <c r="CA70" i="19"/>
  <c r="BZ70" i="19"/>
  <c r="BY70" i="19"/>
  <c r="BT70" i="19"/>
  <c r="BO70" i="19"/>
  <c r="BJ70" i="19"/>
  <c r="BD70" i="19"/>
  <c r="BC70" i="19"/>
  <c r="BB70" i="19"/>
  <c r="BA70" i="19"/>
  <c r="AZ70" i="19"/>
  <c r="AU70" i="19"/>
  <c r="AP70" i="19"/>
  <c r="AK70" i="19"/>
  <c r="AE70" i="19"/>
  <c r="AD70" i="19"/>
  <c r="AC70" i="19"/>
  <c r="AB70" i="19"/>
  <c r="AA70" i="19"/>
  <c r="V70" i="19"/>
  <c r="Q70" i="19"/>
  <c r="L70" i="19"/>
  <c r="G70" i="19"/>
  <c r="CC69" i="19"/>
  <c r="DG69" i="19" s="1"/>
  <c r="CB69" i="19"/>
  <c r="DF69" i="19" s="1"/>
  <c r="CA69" i="19"/>
  <c r="BZ69" i="19"/>
  <c r="BY69" i="19"/>
  <c r="BT69" i="19"/>
  <c r="BO69" i="19"/>
  <c r="BJ69" i="19"/>
  <c r="BD69" i="19"/>
  <c r="BC69" i="19"/>
  <c r="BB69" i="19"/>
  <c r="BA69" i="19"/>
  <c r="AZ69" i="19"/>
  <c r="AU69" i="19"/>
  <c r="AP69" i="19"/>
  <c r="AK69" i="19"/>
  <c r="AE69" i="19"/>
  <c r="AD69" i="19"/>
  <c r="AC69" i="19"/>
  <c r="AB69" i="19"/>
  <c r="AA69" i="19"/>
  <c r="V69" i="19"/>
  <c r="Q69" i="19"/>
  <c r="L69" i="19"/>
  <c r="G69" i="19"/>
  <c r="CC68" i="19"/>
  <c r="DG68" i="19" s="1"/>
  <c r="CB68" i="19"/>
  <c r="DF68" i="19" s="1"/>
  <c r="CA68" i="19"/>
  <c r="BZ68" i="19"/>
  <c r="BY68" i="19"/>
  <c r="BT68" i="19"/>
  <c r="BO68" i="19"/>
  <c r="BJ68" i="19"/>
  <c r="BD68" i="19"/>
  <c r="BC68" i="19"/>
  <c r="BB68" i="19"/>
  <c r="BA68" i="19"/>
  <c r="AZ68" i="19"/>
  <c r="AU68" i="19"/>
  <c r="AP68" i="19"/>
  <c r="AK68" i="19"/>
  <c r="AE68" i="19"/>
  <c r="AD68" i="19"/>
  <c r="AC68" i="19"/>
  <c r="AB68" i="19"/>
  <c r="AA68" i="19"/>
  <c r="V68" i="19"/>
  <c r="Q68" i="19"/>
  <c r="L68" i="19"/>
  <c r="G68" i="19"/>
  <c r="CC67" i="19"/>
  <c r="DG67" i="19" s="1"/>
  <c r="CB67" i="19"/>
  <c r="DF67" i="19" s="1"/>
  <c r="CA67" i="19"/>
  <c r="BZ67" i="19"/>
  <c r="BY67" i="19"/>
  <c r="BT67" i="19"/>
  <c r="BO67" i="19"/>
  <c r="BJ67" i="19"/>
  <c r="BD67" i="19"/>
  <c r="BC67" i="19"/>
  <c r="BB67" i="19"/>
  <c r="BA67" i="19"/>
  <c r="AZ67" i="19"/>
  <c r="AU67" i="19"/>
  <c r="AP67" i="19"/>
  <c r="AK67" i="19"/>
  <c r="AE67" i="19"/>
  <c r="AD67" i="19"/>
  <c r="AC67" i="19"/>
  <c r="AB67" i="19"/>
  <c r="AA67" i="19"/>
  <c r="V67" i="19"/>
  <c r="Q67" i="19"/>
  <c r="L67" i="19"/>
  <c r="G67" i="19"/>
  <c r="CC66" i="19"/>
  <c r="DG66" i="19" s="1"/>
  <c r="CB66" i="19"/>
  <c r="DF66" i="19" s="1"/>
  <c r="CA66" i="19"/>
  <c r="BZ66" i="19"/>
  <c r="BY66" i="19"/>
  <c r="BT66" i="19"/>
  <c r="BO66" i="19"/>
  <c r="BJ66" i="19"/>
  <c r="BD66" i="19"/>
  <c r="BC66" i="19"/>
  <c r="BB66" i="19"/>
  <c r="BA66" i="19"/>
  <c r="AZ66" i="19"/>
  <c r="AU66" i="19"/>
  <c r="AP66" i="19"/>
  <c r="AK66" i="19"/>
  <c r="AE66" i="19"/>
  <c r="AD66" i="19"/>
  <c r="AC66" i="19"/>
  <c r="AB66" i="19"/>
  <c r="AA66" i="19"/>
  <c r="V66" i="19"/>
  <c r="Q66" i="19"/>
  <c r="L66" i="19"/>
  <c r="G66" i="19"/>
  <c r="CC65" i="19"/>
  <c r="DG65" i="19" s="1"/>
  <c r="CB65" i="19"/>
  <c r="DF65" i="19" s="1"/>
  <c r="CA65" i="19"/>
  <c r="BZ65" i="19"/>
  <c r="BY65" i="19"/>
  <c r="BT65" i="19"/>
  <c r="BO65" i="19"/>
  <c r="BJ65" i="19"/>
  <c r="BD65" i="19"/>
  <c r="BC65" i="19"/>
  <c r="BB65" i="19"/>
  <c r="BA65" i="19"/>
  <c r="AZ65" i="19"/>
  <c r="AU65" i="19"/>
  <c r="AP65" i="19"/>
  <c r="AK65" i="19"/>
  <c r="AE65" i="19"/>
  <c r="AD65" i="19"/>
  <c r="AC65" i="19"/>
  <c r="AB65" i="19"/>
  <c r="AA65" i="19"/>
  <c r="V65" i="19"/>
  <c r="Q65" i="19"/>
  <c r="L65" i="19"/>
  <c r="G65" i="19"/>
  <c r="CC64" i="19"/>
  <c r="DG64" i="19" s="1"/>
  <c r="CB64" i="19"/>
  <c r="DF64" i="19" s="1"/>
  <c r="CA64" i="19"/>
  <c r="BZ64" i="19"/>
  <c r="BY64" i="19"/>
  <c r="BT64" i="19"/>
  <c r="BO64" i="19"/>
  <c r="BJ64" i="19"/>
  <c r="BD64" i="19"/>
  <c r="BC64" i="19"/>
  <c r="BB64" i="19"/>
  <c r="BA64" i="19"/>
  <c r="AZ64" i="19"/>
  <c r="AU64" i="19"/>
  <c r="AP64" i="19"/>
  <c r="AK64" i="19"/>
  <c r="AE64" i="19"/>
  <c r="AD64" i="19"/>
  <c r="AC64" i="19"/>
  <c r="AB64" i="19"/>
  <c r="AA64" i="19"/>
  <c r="V64" i="19"/>
  <c r="Q64" i="19"/>
  <c r="L64" i="19"/>
  <c r="G64" i="19"/>
  <c r="CC63" i="19"/>
  <c r="DG63" i="19" s="1"/>
  <c r="CB63" i="19"/>
  <c r="DF63" i="19" s="1"/>
  <c r="CA63" i="19"/>
  <c r="BZ63" i="19"/>
  <c r="BY63" i="19"/>
  <c r="BT63" i="19"/>
  <c r="BO63" i="19"/>
  <c r="BJ63" i="19"/>
  <c r="BD63" i="19"/>
  <c r="BC63" i="19"/>
  <c r="BB63" i="19"/>
  <c r="BA63" i="19"/>
  <c r="AZ63" i="19"/>
  <c r="AU63" i="19"/>
  <c r="AP63" i="19"/>
  <c r="AK63" i="19"/>
  <c r="AE63" i="19"/>
  <c r="AD63" i="19"/>
  <c r="AC63" i="19"/>
  <c r="AB63" i="19"/>
  <c r="AA63" i="19"/>
  <c r="V63" i="19"/>
  <c r="Q63" i="19"/>
  <c r="L63" i="19"/>
  <c r="G63" i="19"/>
  <c r="CC62" i="19"/>
  <c r="DG62" i="19" s="1"/>
  <c r="CB62" i="19"/>
  <c r="DF62" i="19" s="1"/>
  <c r="CA62" i="19"/>
  <c r="BZ62" i="19"/>
  <c r="BY62" i="19"/>
  <c r="BT62" i="19"/>
  <c r="BO62" i="19"/>
  <c r="BJ62" i="19"/>
  <c r="BD62" i="19"/>
  <c r="BC62" i="19"/>
  <c r="BB62" i="19"/>
  <c r="BA62" i="19"/>
  <c r="AZ62" i="19"/>
  <c r="AU62" i="19"/>
  <c r="AP62" i="19"/>
  <c r="AK62" i="19"/>
  <c r="AE62" i="19"/>
  <c r="AD62" i="19"/>
  <c r="AC62" i="19"/>
  <c r="AB62" i="19"/>
  <c r="AA62" i="19"/>
  <c r="V62" i="19"/>
  <c r="Q62" i="19"/>
  <c r="L62" i="19"/>
  <c r="G62" i="19"/>
  <c r="CC61" i="19"/>
  <c r="DG61" i="19" s="1"/>
  <c r="CB61" i="19"/>
  <c r="DF61" i="19" s="1"/>
  <c r="CA61" i="19"/>
  <c r="BZ61" i="19"/>
  <c r="BY61" i="19"/>
  <c r="BT61" i="19"/>
  <c r="BO61" i="19"/>
  <c r="BJ61" i="19"/>
  <c r="BD61" i="19"/>
  <c r="BC61" i="19"/>
  <c r="BB61" i="19"/>
  <c r="BA61" i="19"/>
  <c r="AZ61" i="19"/>
  <c r="AU61" i="19"/>
  <c r="AP61" i="19"/>
  <c r="AK61" i="19"/>
  <c r="AE61" i="19"/>
  <c r="AD61" i="19"/>
  <c r="AC61" i="19"/>
  <c r="AB61" i="19"/>
  <c r="AA61" i="19"/>
  <c r="V61" i="19"/>
  <c r="Q61" i="19"/>
  <c r="L61" i="19"/>
  <c r="G61" i="19"/>
  <c r="CC60" i="19"/>
  <c r="DG60" i="19" s="1"/>
  <c r="CB60" i="19"/>
  <c r="DF60" i="19" s="1"/>
  <c r="CA60" i="19"/>
  <c r="BZ60" i="19"/>
  <c r="BY60" i="19"/>
  <c r="BT60" i="19"/>
  <c r="BO60" i="19"/>
  <c r="BJ60" i="19"/>
  <c r="BD60" i="19"/>
  <c r="BC60" i="19"/>
  <c r="BB60" i="19"/>
  <c r="BA60" i="19"/>
  <c r="AZ60" i="19"/>
  <c r="AU60" i="19"/>
  <c r="AP60" i="19"/>
  <c r="AK60" i="19"/>
  <c r="AE60" i="19"/>
  <c r="AD60" i="19"/>
  <c r="AC60" i="19"/>
  <c r="AB60" i="19"/>
  <c r="AA60" i="19"/>
  <c r="V60" i="19"/>
  <c r="Q60" i="19"/>
  <c r="L60" i="19"/>
  <c r="G60" i="19"/>
  <c r="CC59" i="19"/>
  <c r="DG59" i="19" s="1"/>
  <c r="CB59" i="19"/>
  <c r="DF59" i="19" s="1"/>
  <c r="CA59" i="19"/>
  <c r="BZ59" i="19"/>
  <c r="BY59" i="19"/>
  <c r="BT59" i="19"/>
  <c r="BO59" i="19"/>
  <c r="BJ59" i="19"/>
  <c r="BD59" i="19"/>
  <c r="BC59" i="19"/>
  <c r="BB59" i="19"/>
  <c r="BA59" i="19"/>
  <c r="AZ59" i="19"/>
  <c r="AU59" i="19"/>
  <c r="AP59" i="19"/>
  <c r="AK59" i="19"/>
  <c r="AE59" i="19"/>
  <c r="AD59" i="19"/>
  <c r="AC59" i="19"/>
  <c r="AB59" i="19"/>
  <c r="AA59" i="19"/>
  <c r="V59" i="19"/>
  <c r="Q59" i="19"/>
  <c r="L59" i="19"/>
  <c r="G59" i="19"/>
  <c r="CC58" i="19"/>
  <c r="DG58" i="19" s="1"/>
  <c r="CB58" i="19"/>
  <c r="DF58" i="19" s="1"/>
  <c r="CA58" i="19"/>
  <c r="BZ58" i="19"/>
  <c r="BY58" i="19"/>
  <c r="BT58" i="19"/>
  <c r="BO58" i="19"/>
  <c r="BJ58" i="19"/>
  <c r="BD58" i="19"/>
  <c r="BC58" i="19"/>
  <c r="BB58" i="19"/>
  <c r="BA58" i="19"/>
  <c r="AZ58" i="19"/>
  <c r="AU58" i="19"/>
  <c r="AP58" i="19"/>
  <c r="AK58" i="19"/>
  <c r="AE58" i="19"/>
  <c r="AD58" i="19"/>
  <c r="AC58" i="19"/>
  <c r="AB58" i="19"/>
  <c r="AA58" i="19"/>
  <c r="V58" i="19"/>
  <c r="Q58" i="19"/>
  <c r="L58" i="19"/>
  <c r="G58" i="19"/>
  <c r="CC57" i="19"/>
  <c r="DG57" i="19" s="1"/>
  <c r="CB57" i="19"/>
  <c r="DF57" i="19" s="1"/>
  <c r="CA57" i="19"/>
  <c r="BZ57" i="19"/>
  <c r="BY57" i="19"/>
  <c r="BT57" i="19"/>
  <c r="BO57" i="19"/>
  <c r="BJ57" i="19"/>
  <c r="BD57" i="19"/>
  <c r="BC57" i="19"/>
  <c r="BB57" i="19"/>
  <c r="BA57" i="19"/>
  <c r="AZ57" i="19"/>
  <c r="AU57" i="19"/>
  <c r="AP57" i="19"/>
  <c r="AK57" i="19"/>
  <c r="AE57" i="19"/>
  <c r="AD57" i="19"/>
  <c r="AC57" i="19"/>
  <c r="AB57" i="19"/>
  <c r="AA57" i="19"/>
  <c r="V57" i="19"/>
  <c r="Q57" i="19"/>
  <c r="L57" i="19"/>
  <c r="G57" i="19"/>
  <c r="CC56" i="19"/>
  <c r="DG56" i="19" s="1"/>
  <c r="CB56" i="19"/>
  <c r="DF56" i="19" s="1"/>
  <c r="CA56" i="19"/>
  <c r="BZ56" i="19"/>
  <c r="BY56" i="19"/>
  <c r="BT56" i="19"/>
  <c r="BO56" i="19"/>
  <c r="BJ56" i="19"/>
  <c r="BD56" i="19"/>
  <c r="BC56" i="19"/>
  <c r="BB56" i="19"/>
  <c r="BA56" i="19"/>
  <c r="AZ56" i="19"/>
  <c r="AU56" i="19"/>
  <c r="AP56" i="19"/>
  <c r="AK56" i="19"/>
  <c r="AE56" i="19"/>
  <c r="AD56" i="19"/>
  <c r="AC56" i="19"/>
  <c r="AB56" i="19"/>
  <c r="AA56" i="19"/>
  <c r="V56" i="19"/>
  <c r="Q56" i="19"/>
  <c r="L56" i="19"/>
  <c r="G56" i="19"/>
  <c r="CC55" i="19"/>
  <c r="DG55" i="19" s="1"/>
  <c r="CB55" i="19"/>
  <c r="DF55" i="19" s="1"/>
  <c r="CA55" i="19"/>
  <c r="BZ55" i="19"/>
  <c r="BY55" i="19"/>
  <c r="BT55" i="19"/>
  <c r="BO55" i="19"/>
  <c r="BJ55" i="19"/>
  <c r="BD55" i="19"/>
  <c r="BC55" i="19"/>
  <c r="BB55" i="19"/>
  <c r="BA55" i="19"/>
  <c r="AZ55" i="19"/>
  <c r="AU55" i="19"/>
  <c r="AP55" i="19"/>
  <c r="AK55" i="19"/>
  <c r="AE55" i="19"/>
  <c r="AD55" i="19"/>
  <c r="AC55" i="19"/>
  <c r="AB55" i="19"/>
  <c r="AA55" i="19"/>
  <c r="V55" i="19"/>
  <c r="Q55" i="19"/>
  <c r="L55" i="19"/>
  <c r="G55" i="19"/>
  <c r="CC54" i="19"/>
  <c r="DG54" i="19" s="1"/>
  <c r="CB54" i="19"/>
  <c r="DF54" i="19" s="1"/>
  <c r="CA54" i="19"/>
  <c r="BZ54" i="19"/>
  <c r="BY54" i="19"/>
  <c r="BT54" i="19"/>
  <c r="BO54" i="19"/>
  <c r="BJ54" i="19"/>
  <c r="BD54" i="19"/>
  <c r="BC54" i="19"/>
  <c r="BB54" i="19"/>
  <c r="BA54" i="19"/>
  <c r="AZ54" i="19"/>
  <c r="AU54" i="19"/>
  <c r="AP54" i="19"/>
  <c r="AK54" i="19"/>
  <c r="AE54" i="19"/>
  <c r="AD54" i="19"/>
  <c r="AC54" i="19"/>
  <c r="AB54" i="19"/>
  <c r="AA54" i="19"/>
  <c r="V54" i="19"/>
  <c r="Q54" i="19"/>
  <c r="L54" i="19"/>
  <c r="G54" i="19"/>
  <c r="CC53" i="19"/>
  <c r="DG53" i="19" s="1"/>
  <c r="CB53" i="19"/>
  <c r="DF53" i="19" s="1"/>
  <c r="CA53" i="19"/>
  <c r="BZ53" i="19"/>
  <c r="BY53" i="19"/>
  <c r="BT53" i="19"/>
  <c r="BO53" i="19"/>
  <c r="BJ53" i="19"/>
  <c r="BD53" i="19"/>
  <c r="BC53" i="19"/>
  <c r="BB53" i="19"/>
  <c r="BA53" i="19"/>
  <c r="AZ53" i="19"/>
  <c r="AU53" i="19"/>
  <c r="AP53" i="19"/>
  <c r="AK53" i="19"/>
  <c r="AE53" i="19"/>
  <c r="AD53" i="19"/>
  <c r="AC53" i="19"/>
  <c r="AB53" i="19"/>
  <c r="AA53" i="19"/>
  <c r="V53" i="19"/>
  <c r="Q53" i="19"/>
  <c r="L53" i="19"/>
  <c r="G53" i="19"/>
  <c r="CC52" i="19"/>
  <c r="DG52" i="19" s="1"/>
  <c r="CB52" i="19"/>
  <c r="DF52" i="19" s="1"/>
  <c r="CA52" i="19"/>
  <c r="BZ52" i="19"/>
  <c r="BY52" i="19"/>
  <c r="BT52" i="19"/>
  <c r="BO52" i="19"/>
  <c r="BJ52" i="19"/>
  <c r="BD52" i="19"/>
  <c r="BC52" i="19"/>
  <c r="BB52" i="19"/>
  <c r="BA52" i="19"/>
  <c r="AZ52" i="19"/>
  <c r="AU52" i="19"/>
  <c r="AP52" i="19"/>
  <c r="AK52" i="19"/>
  <c r="AE52" i="19"/>
  <c r="AD52" i="19"/>
  <c r="AC52" i="19"/>
  <c r="AB52" i="19"/>
  <c r="AA52" i="19"/>
  <c r="V52" i="19"/>
  <c r="Q52" i="19"/>
  <c r="L52" i="19"/>
  <c r="G52" i="19"/>
  <c r="CC51" i="19"/>
  <c r="DG51" i="19" s="1"/>
  <c r="CB51" i="19"/>
  <c r="DF51" i="19" s="1"/>
  <c r="CA51" i="19"/>
  <c r="BZ51" i="19"/>
  <c r="BY51" i="19"/>
  <c r="BT51" i="19"/>
  <c r="BO51" i="19"/>
  <c r="BJ51" i="19"/>
  <c r="BD51" i="19"/>
  <c r="BC51" i="19"/>
  <c r="BB51" i="19"/>
  <c r="BA51" i="19"/>
  <c r="AZ51" i="19"/>
  <c r="AU51" i="19"/>
  <c r="AP51" i="19"/>
  <c r="AK51" i="19"/>
  <c r="AE51" i="19"/>
  <c r="AD51" i="19"/>
  <c r="AC51" i="19"/>
  <c r="AB51" i="19"/>
  <c r="AA51" i="19"/>
  <c r="V51" i="19"/>
  <c r="Q51" i="19"/>
  <c r="L51" i="19"/>
  <c r="G51" i="19"/>
  <c r="CC50" i="19"/>
  <c r="DG50" i="19" s="1"/>
  <c r="CB50" i="19"/>
  <c r="DF50" i="19" s="1"/>
  <c r="CA50" i="19"/>
  <c r="BZ50" i="19"/>
  <c r="BY50" i="19"/>
  <c r="BT50" i="19"/>
  <c r="BO50" i="19"/>
  <c r="BJ50" i="19"/>
  <c r="BD50" i="19"/>
  <c r="BC50" i="19"/>
  <c r="BB50" i="19"/>
  <c r="BA50" i="19"/>
  <c r="AZ50" i="19"/>
  <c r="AU50" i="19"/>
  <c r="AP50" i="19"/>
  <c r="AK50" i="19"/>
  <c r="AE50" i="19"/>
  <c r="AD50" i="19"/>
  <c r="AC50" i="19"/>
  <c r="AB50" i="19"/>
  <c r="AA50" i="19"/>
  <c r="V50" i="19"/>
  <c r="Q50" i="19"/>
  <c r="L50" i="19"/>
  <c r="G50" i="19"/>
  <c r="CC49" i="19"/>
  <c r="DG49" i="19" s="1"/>
  <c r="CB49" i="19"/>
  <c r="DF49" i="19" s="1"/>
  <c r="CA49" i="19"/>
  <c r="BZ49" i="19"/>
  <c r="BY49" i="19"/>
  <c r="BT49" i="19"/>
  <c r="BO49" i="19"/>
  <c r="BJ49" i="19"/>
  <c r="BD49" i="19"/>
  <c r="BC49" i="19"/>
  <c r="BB49" i="19"/>
  <c r="BA49" i="19"/>
  <c r="AZ49" i="19"/>
  <c r="AU49" i="19"/>
  <c r="AP49" i="19"/>
  <c r="AK49" i="19"/>
  <c r="AE49" i="19"/>
  <c r="AD49" i="19"/>
  <c r="AC49" i="19"/>
  <c r="AB49" i="19"/>
  <c r="AA49" i="19"/>
  <c r="V49" i="19"/>
  <c r="Q49" i="19"/>
  <c r="L49" i="19"/>
  <c r="G49" i="19"/>
  <c r="CC48" i="19"/>
  <c r="DG48" i="19" s="1"/>
  <c r="CB48" i="19"/>
  <c r="DF48" i="19" s="1"/>
  <c r="CA48" i="19"/>
  <c r="BZ48" i="19"/>
  <c r="BY48" i="19"/>
  <c r="BT48" i="19"/>
  <c r="BO48" i="19"/>
  <c r="BJ48" i="19"/>
  <c r="BD48" i="19"/>
  <c r="BC48" i="19"/>
  <c r="BB48" i="19"/>
  <c r="BA48" i="19"/>
  <c r="AZ48" i="19"/>
  <c r="AU48" i="19"/>
  <c r="AP48" i="19"/>
  <c r="AK48" i="19"/>
  <c r="AE48" i="19"/>
  <c r="AD48" i="19"/>
  <c r="AC48" i="19"/>
  <c r="AB48" i="19"/>
  <c r="AA48" i="19"/>
  <c r="V48" i="19"/>
  <c r="Q48" i="19"/>
  <c r="L48" i="19"/>
  <c r="G48" i="19"/>
  <c r="CC47" i="19"/>
  <c r="DG47" i="19" s="1"/>
  <c r="CB47" i="19"/>
  <c r="DF47" i="19" s="1"/>
  <c r="CA47" i="19"/>
  <c r="BZ47" i="19"/>
  <c r="BY47" i="19"/>
  <c r="BT47" i="19"/>
  <c r="BO47" i="19"/>
  <c r="BJ47" i="19"/>
  <c r="BD47" i="19"/>
  <c r="BC47" i="19"/>
  <c r="BB47" i="19"/>
  <c r="BA47" i="19"/>
  <c r="AZ47" i="19"/>
  <c r="AU47" i="19"/>
  <c r="AP47" i="19"/>
  <c r="AK47" i="19"/>
  <c r="AE47" i="19"/>
  <c r="AD47" i="19"/>
  <c r="AC47" i="19"/>
  <c r="AB47" i="19"/>
  <c r="AA47" i="19"/>
  <c r="V47" i="19"/>
  <c r="Q47" i="19"/>
  <c r="L47" i="19"/>
  <c r="G47" i="19"/>
  <c r="CC46" i="19"/>
  <c r="DG46" i="19" s="1"/>
  <c r="CB46" i="19"/>
  <c r="DF46" i="19" s="1"/>
  <c r="CA46" i="19"/>
  <c r="BZ46" i="19"/>
  <c r="BY46" i="19"/>
  <c r="BT46" i="19"/>
  <c r="BO46" i="19"/>
  <c r="BJ46" i="19"/>
  <c r="BD46" i="19"/>
  <c r="BC46" i="19"/>
  <c r="BB46" i="19"/>
  <c r="BA46" i="19"/>
  <c r="AZ46" i="19"/>
  <c r="AU46" i="19"/>
  <c r="AP46" i="19"/>
  <c r="AK46" i="19"/>
  <c r="AE46" i="19"/>
  <c r="AD46" i="19"/>
  <c r="AC46" i="19"/>
  <c r="AB46" i="19"/>
  <c r="AA46" i="19"/>
  <c r="V46" i="19"/>
  <c r="Q46" i="19"/>
  <c r="L46" i="19"/>
  <c r="G46" i="19"/>
  <c r="CC45" i="19"/>
  <c r="DG45" i="19" s="1"/>
  <c r="CB45" i="19"/>
  <c r="DF45" i="19" s="1"/>
  <c r="CA45" i="19"/>
  <c r="BZ45" i="19"/>
  <c r="BY45" i="19"/>
  <c r="BT45" i="19"/>
  <c r="BO45" i="19"/>
  <c r="BJ45" i="19"/>
  <c r="BD45" i="19"/>
  <c r="BC45" i="19"/>
  <c r="BB45" i="19"/>
  <c r="BA45" i="19"/>
  <c r="AZ45" i="19"/>
  <c r="AU45" i="19"/>
  <c r="AP45" i="19"/>
  <c r="AK45" i="19"/>
  <c r="AE45" i="19"/>
  <c r="AD45" i="19"/>
  <c r="AC45" i="19"/>
  <c r="AB45" i="19"/>
  <c r="AA45" i="19"/>
  <c r="V45" i="19"/>
  <c r="Q45" i="19"/>
  <c r="L45" i="19"/>
  <c r="G45" i="19"/>
  <c r="CC44" i="19"/>
  <c r="DG44" i="19" s="1"/>
  <c r="CB44" i="19"/>
  <c r="DF44" i="19" s="1"/>
  <c r="CA44" i="19"/>
  <c r="BZ44" i="19"/>
  <c r="BY44" i="19"/>
  <c r="BT44" i="19"/>
  <c r="BO44" i="19"/>
  <c r="BJ44" i="19"/>
  <c r="BD44" i="19"/>
  <c r="BC44" i="19"/>
  <c r="BB44" i="19"/>
  <c r="BA44" i="19"/>
  <c r="AZ44" i="19"/>
  <c r="AU44" i="19"/>
  <c r="AP44" i="19"/>
  <c r="AK44" i="19"/>
  <c r="AE44" i="19"/>
  <c r="AD44" i="19"/>
  <c r="AC44" i="19"/>
  <c r="AB44" i="19"/>
  <c r="AA44" i="19"/>
  <c r="V44" i="19"/>
  <c r="Q44" i="19"/>
  <c r="L44" i="19"/>
  <c r="G44" i="19"/>
  <c r="CC43" i="19"/>
  <c r="DG43" i="19" s="1"/>
  <c r="CB43" i="19"/>
  <c r="DF43" i="19" s="1"/>
  <c r="CA43" i="19"/>
  <c r="BZ43" i="19"/>
  <c r="BY43" i="19"/>
  <c r="BT43" i="19"/>
  <c r="BO43" i="19"/>
  <c r="BJ43" i="19"/>
  <c r="BD43" i="19"/>
  <c r="BC43" i="19"/>
  <c r="BB43" i="19"/>
  <c r="BA43" i="19"/>
  <c r="AZ43" i="19"/>
  <c r="AU43" i="19"/>
  <c r="AP43" i="19"/>
  <c r="AK43" i="19"/>
  <c r="AE43" i="19"/>
  <c r="AD43" i="19"/>
  <c r="AC43" i="19"/>
  <c r="AB43" i="19"/>
  <c r="AA43" i="19"/>
  <c r="V43" i="19"/>
  <c r="Q43" i="19"/>
  <c r="L43" i="19"/>
  <c r="G43" i="19"/>
  <c r="CC42" i="19"/>
  <c r="DG42" i="19" s="1"/>
  <c r="CB42" i="19"/>
  <c r="DF42" i="19" s="1"/>
  <c r="CA42" i="19"/>
  <c r="BZ42" i="19"/>
  <c r="BY42" i="19"/>
  <c r="BT42" i="19"/>
  <c r="BO42" i="19"/>
  <c r="BJ42" i="19"/>
  <c r="BD42" i="19"/>
  <c r="BC42" i="19"/>
  <c r="BB42" i="19"/>
  <c r="BA42" i="19"/>
  <c r="AZ42" i="19"/>
  <c r="AU42" i="19"/>
  <c r="AP42" i="19"/>
  <c r="AK42" i="19"/>
  <c r="AE42" i="19"/>
  <c r="AD42" i="19"/>
  <c r="AC42" i="19"/>
  <c r="AB42" i="19"/>
  <c r="AA42" i="19"/>
  <c r="V42" i="19"/>
  <c r="Q42" i="19"/>
  <c r="L42" i="19"/>
  <c r="G42" i="19"/>
  <c r="CC41" i="19"/>
  <c r="DG41" i="19" s="1"/>
  <c r="CB41" i="19"/>
  <c r="DF41" i="19" s="1"/>
  <c r="CA41" i="19"/>
  <c r="BZ41" i="19"/>
  <c r="BY41" i="19"/>
  <c r="BT41" i="19"/>
  <c r="BO41" i="19"/>
  <c r="BJ41" i="19"/>
  <c r="BD41" i="19"/>
  <c r="BC41" i="19"/>
  <c r="BB41" i="19"/>
  <c r="BA41" i="19"/>
  <c r="AZ41" i="19"/>
  <c r="AU41" i="19"/>
  <c r="AP41" i="19"/>
  <c r="AK41" i="19"/>
  <c r="AE41" i="19"/>
  <c r="AD41" i="19"/>
  <c r="AC41" i="19"/>
  <c r="AB41" i="19"/>
  <c r="AA41" i="19"/>
  <c r="V41" i="19"/>
  <c r="Q41" i="19"/>
  <c r="L41" i="19"/>
  <c r="G41" i="19"/>
  <c r="CC40" i="19"/>
  <c r="DG40" i="19" s="1"/>
  <c r="CB40" i="19"/>
  <c r="DF40" i="19" s="1"/>
  <c r="CA40" i="19"/>
  <c r="BZ40" i="19"/>
  <c r="BY40" i="19"/>
  <c r="BT40" i="19"/>
  <c r="BO40" i="19"/>
  <c r="BJ40" i="19"/>
  <c r="BD40" i="19"/>
  <c r="BC40" i="19"/>
  <c r="BB40" i="19"/>
  <c r="BA40" i="19"/>
  <c r="AZ40" i="19"/>
  <c r="AU40" i="19"/>
  <c r="AP40" i="19"/>
  <c r="AK40" i="19"/>
  <c r="AE40" i="19"/>
  <c r="AD40" i="19"/>
  <c r="AC40" i="19"/>
  <c r="AB40" i="19"/>
  <c r="AA40" i="19"/>
  <c r="V40" i="19"/>
  <c r="Q40" i="19"/>
  <c r="L40" i="19"/>
  <c r="G40" i="19"/>
  <c r="CC39" i="19"/>
  <c r="DG39" i="19" s="1"/>
  <c r="CB39" i="19"/>
  <c r="DF39" i="19" s="1"/>
  <c r="CA39" i="19"/>
  <c r="BZ39" i="19"/>
  <c r="BY39" i="19"/>
  <c r="BT39" i="19"/>
  <c r="BO39" i="19"/>
  <c r="BJ39" i="19"/>
  <c r="BD39" i="19"/>
  <c r="BC39" i="19"/>
  <c r="BB39" i="19"/>
  <c r="BA39" i="19"/>
  <c r="AZ39" i="19"/>
  <c r="AU39" i="19"/>
  <c r="AP39" i="19"/>
  <c r="AK39" i="19"/>
  <c r="AE39" i="19"/>
  <c r="AD39" i="19"/>
  <c r="AC39" i="19"/>
  <c r="AB39" i="19"/>
  <c r="AA39" i="19"/>
  <c r="V39" i="19"/>
  <c r="Q39" i="19"/>
  <c r="L39" i="19"/>
  <c r="G39" i="19"/>
  <c r="CC38" i="19"/>
  <c r="DG38" i="19" s="1"/>
  <c r="CB38" i="19"/>
  <c r="DF38" i="19" s="1"/>
  <c r="CA38" i="19"/>
  <c r="BZ38" i="19"/>
  <c r="BY38" i="19"/>
  <c r="BT38" i="19"/>
  <c r="BO38" i="19"/>
  <c r="BJ38" i="19"/>
  <c r="BD38" i="19"/>
  <c r="BC38" i="19"/>
  <c r="BB38" i="19"/>
  <c r="BA38" i="19"/>
  <c r="AZ38" i="19"/>
  <c r="AU38" i="19"/>
  <c r="AP38" i="19"/>
  <c r="AK38" i="19"/>
  <c r="AE38" i="19"/>
  <c r="AD38" i="19"/>
  <c r="AC38" i="19"/>
  <c r="AB38" i="19"/>
  <c r="AA38" i="19"/>
  <c r="V38" i="19"/>
  <c r="Q38" i="19"/>
  <c r="L38" i="19"/>
  <c r="G38" i="19"/>
  <c r="CC37" i="19"/>
  <c r="DG37" i="19" s="1"/>
  <c r="CB37" i="19"/>
  <c r="DF37" i="19" s="1"/>
  <c r="CA37" i="19"/>
  <c r="BZ37" i="19"/>
  <c r="BY37" i="19"/>
  <c r="BT37" i="19"/>
  <c r="BO37" i="19"/>
  <c r="BJ37" i="19"/>
  <c r="BD37" i="19"/>
  <c r="BC37" i="19"/>
  <c r="BB37" i="19"/>
  <c r="BA37" i="19"/>
  <c r="AZ37" i="19"/>
  <c r="AU37" i="19"/>
  <c r="AP37" i="19"/>
  <c r="AK37" i="19"/>
  <c r="AE37" i="19"/>
  <c r="AD37" i="19"/>
  <c r="AC37" i="19"/>
  <c r="AB37" i="19"/>
  <c r="AA37" i="19"/>
  <c r="V37" i="19"/>
  <c r="Q37" i="19"/>
  <c r="L37" i="19"/>
  <c r="G37" i="19"/>
  <c r="CC36" i="19"/>
  <c r="DG36" i="19" s="1"/>
  <c r="CB36" i="19"/>
  <c r="DF36" i="19" s="1"/>
  <c r="CA36" i="19"/>
  <c r="BZ36" i="19"/>
  <c r="BY36" i="19"/>
  <c r="BT36" i="19"/>
  <c r="BO36" i="19"/>
  <c r="BJ36" i="19"/>
  <c r="BD36" i="19"/>
  <c r="BC36" i="19"/>
  <c r="BB36" i="19"/>
  <c r="BA36" i="19"/>
  <c r="AZ36" i="19"/>
  <c r="AU36" i="19"/>
  <c r="AP36" i="19"/>
  <c r="AK36" i="19"/>
  <c r="AE36" i="19"/>
  <c r="AD36" i="19"/>
  <c r="AC36" i="19"/>
  <c r="AB36" i="19"/>
  <c r="AA36" i="19"/>
  <c r="V36" i="19"/>
  <c r="Q36" i="19"/>
  <c r="L36" i="19"/>
  <c r="G36" i="19"/>
  <c r="CC35" i="19"/>
  <c r="DG35" i="19" s="1"/>
  <c r="CB35" i="19"/>
  <c r="DF35" i="19" s="1"/>
  <c r="CA35" i="19"/>
  <c r="BZ35" i="19"/>
  <c r="BY35" i="19"/>
  <c r="BT35" i="19"/>
  <c r="BO35" i="19"/>
  <c r="BJ35" i="19"/>
  <c r="BD35" i="19"/>
  <c r="BC35" i="19"/>
  <c r="BB35" i="19"/>
  <c r="BA35" i="19"/>
  <c r="AZ35" i="19"/>
  <c r="AU35" i="19"/>
  <c r="AP35" i="19"/>
  <c r="AK35" i="19"/>
  <c r="AE35" i="19"/>
  <c r="AD35" i="19"/>
  <c r="AC35" i="19"/>
  <c r="AB35" i="19"/>
  <c r="AA35" i="19"/>
  <c r="V35" i="19"/>
  <c r="Q35" i="19"/>
  <c r="L35" i="19"/>
  <c r="G35" i="19"/>
  <c r="CC34" i="19"/>
  <c r="DG34" i="19" s="1"/>
  <c r="CB34" i="19"/>
  <c r="DF34" i="19" s="1"/>
  <c r="CA34" i="19"/>
  <c r="BZ34" i="19"/>
  <c r="BY34" i="19"/>
  <c r="BT34" i="19"/>
  <c r="BO34" i="19"/>
  <c r="BJ34" i="19"/>
  <c r="BD34" i="19"/>
  <c r="BC34" i="19"/>
  <c r="BB34" i="19"/>
  <c r="BA34" i="19"/>
  <c r="AZ34" i="19"/>
  <c r="AU34" i="19"/>
  <c r="AP34" i="19"/>
  <c r="AK34" i="19"/>
  <c r="AE34" i="19"/>
  <c r="AD34" i="19"/>
  <c r="AC34" i="19"/>
  <c r="AB34" i="19"/>
  <c r="AA34" i="19"/>
  <c r="V34" i="19"/>
  <c r="Q34" i="19"/>
  <c r="L34" i="19"/>
  <c r="G34" i="19"/>
  <c r="CC33" i="19"/>
  <c r="DG33" i="19" s="1"/>
  <c r="CB33" i="19"/>
  <c r="DF33" i="19" s="1"/>
  <c r="CA33" i="19"/>
  <c r="BZ33" i="19"/>
  <c r="BY33" i="19"/>
  <c r="BT33" i="19"/>
  <c r="BO33" i="19"/>
  <c r="BJ33" i="19"/>
  <c r="BD33" i="19"/>
  <c r="BC33" i="19"/>
  <c r="BB33" i="19"/>
  <c r="BA33" i="19"/>
  <c r="AZ33" i="19"/>
  <c r="AU33" i="19"/>
  <c r="AP33" i="19"/>
  <c r="AK33" i="19"/>
  <c r="AE33" i="19"/>
  <c r="AD33" i="19"/>
  <c r="AC33" i="19"/>
  <c r="AB33" i="19"/>
  <c r="AA33" i="19"/>
  <c r="V33" i="19"/>
  <c r="Q33" i="19"/>
  <c r="L33" i="19"/>
  <c r="G33" i="19"/>
  <c r="CC32" i="19"/>
  <c r="DG32" i="19" s="1"/>
  <c r="CB32" i="19"/>
  <c r="DF32" i="19" s="1"/>
  <c r="CA32" i="19"/>
  <c r="BZ32" i="19"/>
  <c r="BY32" i="19"/>
  <c r="BT32" i="19"/>
  <c r="BO32" i="19"/>
  <c r="BJ32" i="19"/>
  <c r="BD32" i="19"/>
  <c r="BC32" i="19"/>
  <c r="BB32" i="19"/>
  <c r="BA32" i="19"/>
  <c r="AZ32" i="19"/>
  <c r="AU32" i="19"/>
  <c r="AP32" i="19"/>
  <c r="AK32" i="19"/>
  <c r="AE32" i="19"/>
  <c r="AD32" i="19"/>
  <c r="AC32" i="19"/>
  <c r="AB32" i="19"/>
  <c r="AA32" i="19"/>
  <c r="V32" i="19"/>
  <c r="Q32" i="19"/>
  <c r="L32" i="19"/>
  <c r="G32" i="19"/>
  <c r="CC31" i="19"/>
  <c r="DG31" i="19" s="1"/>
  <c r="CB31" i="19"/>
  <c r="DF31" i="19" s="1"/>
  <c r="CA31" i="19"/>
  <c r="BZ31" i="19"/>
  <c r="BY31" i="19"/>
  <c r="BT31" i="19"/>
  <c r="BO31" i="19"/>
  <c r="BJ31" i="19"/>
  <c r="BD31" i="19"/>
  <c r="BC31" i="19"/>
  <c r="BB31" i="19"/>
  <c r="BA31" i="19"/>
  <c r="AZ31" i="19"/>
  <c r="AU31" i="19"/>
  <c r="AP31" i="19"/>
  <c r="AK31" i="19"/>
  <c r="AE31" i="19"/>
  <c r="AD31" i="19"/>
  <c r="AC31" i="19"/>
  <c r="AB31" i="19"/>
  <c r="AA31" i="19"/>
  <c r="V31" i="19"/>
  <c r="Q31" i="19"/>
  <c r="L31" i="19"/>
  <c r="G31" i="19"/>
  <c r="CC30" i="19"/>
  <c r="DG30" i="19" s="1"/>
  <c r="CB30" i="19"/>
  <c r="DF30" i="19" s="1"/>
  <c r="CA30" i="19"/>
  <c r="BZ30" i="19"/>
  <c r="BY30" i="19"/>
  <c r="BT30" i="19"/>
  <c r="BO30" i="19"/>
  <c r="BJ30" i="19"/>
  <c r="BD30" i="19"/>
  <c r="BC30" i="19"/>
  <c r="BB30" i="19"/>
  <c r="BA30" i="19"/>
  <c r="AZ30" i="19"/>
  <c r="AU30" i="19"/>
  <c r="AP30" i="19"/>
  <c r="AK30" i="19"/>
  <c r="AE30" i="19"/>
  <c r="AD30" i="19"/>
  <c r="AC30" i="19"/>
  <c r="AB30" i="19"/>
  <c r="AA30" i="19"/>
  <c r="V30" i="19"/>
  <c r="Q30" i="19"/>
  <c r="L30" i="19"/>
  <c r="G30" i="19"/>
  <c r="CC29" i="19"/>
  <c r="DG29" i="19" s="1"/>
  <c r="CB29" i="19"/>
  <c r="DF29" i="19" s="1"/>
  <c r="CA29" i="19"/>
  <c r="BZ29" i="19"/>
  <c r="BY29" i="19"/>
  <c r="BT29" i="19"/>
  <c r="BO29" i="19"/>
  <c r="BJ29" i="19"/>
  <c r="BD29" i="19"/>
  <c r="BC29" i="19"/>
  <c r="BB29" i="19"/>
  <c r="BA29" i="19"/>
  <c r="AZ29" i="19"/>
  <c r="AU29" i="19"/>
  <c r="AP29" i="19"/>
  <c r="AK29" i="19"/>
  <c r="AE29" i="19"/>
  <c r="AD29" i="19"/>
  <c r="AC29" i="19"/>
  <c r="AB29" i="19"/>
  <c r="AA29" i="19"/>
  <c r="V29" i="19"/>
  <c r="Q29" i="19"/>
  <c r="L29" i="19"/>
  <c r="G29" i="19"/>
  <c r="CC28" i="19"/>
  <c r="DG28" i="19" s="1"/>
  <c r="CB28" i="19"/>
  <c r="DF28" i="19" s="1"/>
  <c r="CA28" i="19"/>
  <c r="BZ28" i="19"/>
  <c r="BY28" i="19"/>
  <c r="BT28" i="19"/>
  <c r="BO28" i="19"/>
  <c r="BJ28" i="19"/>
  <c r="BD28" i="19"/>
  <c r="BC28" i="19"/>
  <c r="BB28" i="19"/>
  <c r="BA28" i="19"/>
  <c r="AZ28" i="19"/>
  <c r="AU28" i="19"/>
  <c r="AP28" i="19"/>
  <c r="AK28" i="19"/>
  <c r="AE28" i="19"/>
  <c r="AD28" i="19"/>
  <c r="AC28" i="19"/>
  <c r="AB28" i="19"/>
  <c r="AA28" i="19"/>
  <c r="V28" i="19"/>
  <c r="Q28" i="19"/>
  <c r="L28" i="19"/>
  <c r="G28" i="19"/>
  <c r="CC27" i="19"/>
  <c r="DG27" i="19" s="1"/>
  <c r="CB27" i="19"/>
  <c r="DF27" i="19" s="1"/>
  <c r="CA27" i="19"/>
  <c r="BZ27" i="19"/>
  <c r="BY27" i="19"/>
  <c r="BT27" i="19"/>
  <c r="BO27" i="19"/>
  <c r="BJ27" i="19"/>
  <c r="BD27" i="19"/>
  <c r="BC27" i="19"/>
  <c r="BB27" i="19"/>
  <c r="BA27" i="19"/>
  <c r="AZ27" i="19"/>
  <c r="AU27" i="19"/>
  <c r="AP27" i="19"/>
  <c r="AK27" i="19"/>
  <c r="AE27" i="19"/>
  <c r="AD27" i="19"/>
  <c r="AC27" i="19"/>
  <c r="AB27" i="19"/>
  <c r="AA27" i="19"/>
  <c r="V27" i="19"/>
  <c r="Q27" i="19"/>
  <c r="L27" i="19"/>
  <c r="G27" i="19"/>
  <c r="CC26" i="19"/>
  <c r="DG26" i="19" s="1"/>
  <c r="CB26" i="19"/>
  <c r="DF26" i="19" s="1"/>
  <c r="CA26" i="19"/>
  <c r="BZ26" i="19"/>
  <c r="BY26" i="19"/>
  <c r="BT26" i="19"/>
  <c r="BO26" i="19"/>
  <c r="BJ26" i="19"/>
  <c r="BD26" i="19"/>
  <c r="BC26" i="19"/>
  <c r="BB26" i="19"/>
  <c r="BA26" i="19"/>
  <c r="AZ26" i="19"/>
  <c r="AU26" i="19"/>
  <c r="AP26" i="19"/>
  <c r="AK26" i="19"/>
  <c r="AE26" i="19"/>
  <c r="AD26" i="19"/>
  <c r="AC26" i="19"/>
  <c r="AB26" i="19"/>
  <c r="AA26" i="19"/>
  <c r="V26" i="19"/>
  <c r="Q26" i="19"/>
  <c r="L26" i="19"/>
  <c r="G26" i="19"/>
  <c r="CC25" i="19"/>
  <c r="DG25" i="19" s="1"/>
  <c r="CB25" i="19"/>
  <c r="DF25" i="19" s="1"/>
  <c r="CA25" i="19"/>
  <c r="BZ25" i="19"/>
  <c r="BY25" i="19"/>
  <c r="BT25" i="19"/>
  <c r="BO25" i="19"/>
  <c r="BJ25" i="19"/>
  <c r="BD25" i="19"/>
  <c r="BC25" i="19"/>
  <c r="BB25" i="19"/>
  <c r="BA25" i="19"/>
  <c r="AZ25" i="19"/>
  <c r="AU25" i="19"/>
  <c r="AP25" i="19"/>
  <c r="AK25" i="19"/>
  <c r="AE25" i="19"/>
  <c r="AD25" i="19"/>
  <c r="AC25" i="19"/>
  <c r="AB25" i="19"/>
  <c r="AA25" i="19"/>
  <c r="V25" i="19"/>
  <c r="Q25" i="19"/>
  <c r="L25" i="19"/>
  <c r="G25" i="19"/>
  <c r="CC24" i="19"/>
  <c r="DG24" i="19" s="1"/>
  <c r="CB24" i="19"/>
  <c r="DF24" i="19" s="1"/>
  <c r="CA24" i="19"/>
  <c r="BZ24" i="19"/>
  <c r="BY24" i="19"/>
  <c r="BT24" i="19"/>
  <c r="BO24" i="19"/>
  <c r="BJ24" i="19"/>
  <c r="BD24" i="19"/>
  <c r="BC24" i="19"/>
  <c r="BB24" i="19"/>
  <c r="BA24" i="19"/>
  <c r="AZ24" i="19"/>
  <c r="AU24" i="19"/>
  <c r="AP24" i="19"/>
  <c r="AK24" i="19"/>
  <c r="AE24" i="19"/>
  <c r="AD24" i="19"/>
  <c r="AC24" i="19"/>
  <c r="AB24" i="19"/>
  <c r="AA24" i="19"/>
  <c r="V24" i="19"/>
  <c r="Q24" i="19"/>
  <c r="L24" i="19"/>
  <c r="G24" i="19"/>
  <c r="CC23" i="19"/>
  <c r="DG23" i="19" s="1"/>
  <c r="CB23" i="19"/>
  <c r="DF23" i="19" s="1"/>
  <c r="CA23" i="19"/>
  <c r="BZ23" i="19"/>
  <c r="BY23" i="19"/>
  <c r="BT23" i="19"/>
  <c r="BO23" i="19"/>
  <c r="BJ23" i="19"/>
  <c r="BD23" i="19"/>
  <c r="BC23" i="19"/>
  <c r="BB23" i="19"/>
  <c r="BA23" i="19"/>
  <c r="AZ23" i="19"/>
  <c r="AU23" i="19"/>
  <c r="AP23" i="19"/>
  <c r="AK23" i="19"/>
  <c r="AE23" i="19"/>
  <c r="AD23" i="19"/>
  <c r="AC23" i="19"/>
  <c r="AB23" i="19"/>
  <c r="AA23" i="19"/>
  <c r="V23" i="19"/>
  <c r="Q23" i="19"/>
  <c r="L23" i="19"/>
  <c r="G23" i="19"/>
  <c r="CC22" i="19"/>
  <c r="DG22" i="19" s="1"/>
  <c r="CB22" i="19"/>
  <c r="DF22" i="19" s="1"/>
  <c r="CA22" i="19"/>
  <c r="BZ22" i="19"/>
  <c r="BY22" i="19"/>
  <c r="BT22" i="19"/>
  <c r="BO22" i="19"/>
  <c r="BJ22" i="19"/>
  <c r="BD22" i="19"/>
  <c r="BC22" i="19"/>
  <c r="BB22" i="19"/>
  <c r="BA22" i="19"/>
  <c r="AZ22" i="19"/>
  <c r="AU22" i="19"/>
  <c r="AP22" i="19"/>
  <c r="AK22" i="19"/>
  <c r="AE22" i="19"/>
  <c r="AD22" i="19"/>
  <c r="AC22" i="19"/>
  <c r="AB22" i="19"/>
  <c r="AA22" i="19"/>
  <c r="V22" i="19"/>
  <c r="Q22" i="19"/>
  <c r="L22" i="19"/>
  <c r="G22" i="19"/>
  <c r="CC21" i="19"/>
  <c r="DG21" i="19" s="1"/>
  <c r="CB21" i="19"/>
  <c r="DF21" i="19" s="1"/>
  <c r="CA21" i="19"/>
  <c r="BZ21" i="19"/>
  <c r="BY21" i="19"/>
  <c r="BT21" i="19"/>
  <c r="BO21" i="19"/>
  <c r="BJ21" i="19"/>
  <c r="BD21" i="19"/>
  <c r="BC21" i="19"/>
  <c r="BB21" i="19"/>
  <c r="BA21" i="19"/>
  <c r="AZ21" i="19"/>
  <c r="AU21" i="19"/>
  <c r="AP21" i="19"/>
  <c r="AK21" i="19"/>
  <c r="AE21" i="19"/>
  <c r="AD21" i="19"/>
  <c r="AC21" i="19"/>
  <c r="AB21" i="19"/>
  <c r="AA21" i="19"/>
  <c r="V21" i="19"/>
  <c r="Q21" i="19"/>
  <c r="L21" i="19"/>
  <c r="G21" i="19"/>
  <c r="CC20" i="19"/>
  <c r="DG20" i="19" s="1"/>
  <c r="CB20" i="19"/>
  <c r="DF20" i="19" s="1"/>
  <c r="CA20" i="19"/>
  <c r="BZ20" i="19"/>
  <c r="BY20" i="19"/>
  <c r="BT20" i="19"/>
  <c r="BO20" i="19"/>
  <c r="BJ20" i="19"/>
  <c r="BD20" i="19"/>
  <c r="BC20" i="19"/>
  <c r="BB20" i="19"/>
  <c r="BA20" i="19"/>
  <c r="AZ20" i="19"/>
  <c r="AU20" i="19"/>
  <c r="AP20" i="19"/>
  <c r="AK20" i="19"/>
  <c r="AE20" i="19"/>
  <c r="AD20" i="19"/>
  <c r="AC20" i="19"/>
  <c r="AB20" i="19"/>
  <c r="AA20" i="19"/>
  <c r="V20" i="19"/>
  <c r="Q20" i="19"/>
  <c r="L20" i="19"/>
  <c r="G20" i="19"/>
  <c r="CC19" i="19"/>
  <c r="DG19" i="19" s="1"/>
  <c r="CB19" i="19"/>
  <c r="DF19" i="19" s="1"/>
  <c r="CA19" i="19"/>
  <c r="BZ19" i="19"/>
  <c r="BY19" i="19"/>
  <c r="BT19" i="19"/>
  <c r="BO19" i="19"/>
  <c r="BJ19" i="19"/>
  <c r="BD19" i="19"/>
  <c r="BC19" i="19"/>
  <c r="BB19" i="19"/>
  <c r="BA19" i="19"/>
  <c r="AZ19" i="19"/>
  <c r="AU19" i="19"/>
  <c r="AP19" i="19"/>
  <c r="AK19" i="19"/>
  <c r="AE19" i="19"/>
  <c r="AD19" i="19"/>
  <c r="AC19" i="19"/>
  <c r="AB19" i="19"/>
  <c r="AA19" i="19"/>
  <c r="V19" i="19"/>
  <c r="Q19" i="19"/>
  <c r="L19" i="19"/>
  <c r="G19" i="19"/>
  <c r="CC18" i="19"/>
  <c r="DG18" i="19" s="1"/>
  <c r="CB18" i="19"/>
  <c r="DF18" i="19" s="1"/>
  <c r="CA18" i="19"/>
  <c r="BZ18" i="19"/>
  <c r="BY18" i="19"/>
  <c r="BT18" i="19"/>
  <c r="BO18" i="19"/>
  <c r="BJ18" i="19"/>
  <c r="BD18" i="19"/>
  <c r="BC18" i="19"/>
  <c r="BB18" i="19"/>
  <c r="BA18" i="19"/>
  <c r="AZ18" i="19"/>
  <c r="AU18" i="19"/>
  <c r="AP18" i="19"/>
  <c r="AK18" i="19"/>
  <c r="AE18" i="19"/>
  <c r="AD18" i="19"/>
  <c r="AC18" i="19"/>
  <c r="AB18" i="19"/>
  <c r="AA18" i="19"/>
  <c r="V18" i="19"/>
  <c r="Q18" i="19"/>
  <c r="L18" i="19"/>
  <c r="G18" i="19"/>
  <c r="CC17" i="19"/>
  <c r="DG17" i="19" s="1"/>
  <c r="CB17" i="19"/>
  <c r="DF17" i="19" s="1"/>
  <c r="CA17" i="19"/>
  <c r="BZ17" i="19"/>
  <c r="BY17" i="19"/>
  <c r="BT17" i="19"/>
  <c r="BO17" i="19"/>
  <c r="BJ17" i="19"/>
  <c r="BD17" i="19"/>
  <c r="BC17" i="19"/>
  <c r="BB17" i="19"/>
  <c r="BA17" i="19"/>
  <c r="AZ17" i="19"/>
  <c r="AU17" i="19"/>
  <c r="AP17" i="19"/>
  <c r="AK17" i="19"/>
  <c r="AE17" i="19"/>
  <c r="AD17" i="19"/>
  <c r="AC17" i="19"/>
  <c r="AB17" i="19"/>
  <c r="AA17" i="19"/>
  <c r="V17" i="19"/>
  <c r="Q17" i="19"/>
  <c r="L17" i="19"/>
  <c r="G17" i="19"/>
  <c r="CC16" i="19"/>
  <c r="DG16" i="19" s="1"/>
  <c r="CB16" i="19"/>
  <c r="DF16" i="19" s="1"/>
  <c r="CA16" i="19"/>
  <c r="BZ16" i="19"/>
  <c r="BY16" i="19"/>
  <c r="BT16" i="19"/>
  <c r="BO16" i="19"/>
  <c r="BJ16" i="19"/>
  <c r="BD16" i="19"/>
  <c r="BC16" i="19"/>
  <c r="BB16" i="19"/>
  <c r="BA16" i="19"/>
  <c r="AZ16" i="19"/>
  <c r="AU16" i="19"/>
  <c r="AP16" i="19"/>
  <c r="AK16" i="19"/>
  <c r="AE16" i="19"/>
  <c r="AD16" i="19"/>
  <c r="AC16" i="19"/>
  <c r="AB16" i="19"/>
  <c r="AA16" i="19"/>
  <c r="V16" i="19"/>
  <c r="Q16" i="19"/>
  <c r="L16" i="19"/>
  <c r="G16" i="19"/>
  <c r="CC15" i="19"/>
  <c r="DG15" i="19" s="1"/>
  <c r="CB15" i="19"/>
  <c r="DF15" i="19" s="1"/>
  <c r="CA15" i="19"/>
  <c r="BZ15" i="19"/>
  <c r="BY15" i="19"/>
  <c r="BT15" i="19"/>
  <c r="BO15" i="19"/>
  <c r="BJ15" i="19"/>
  <c r="BD15" i="19"/>
  <c r="BC15" i="19"/>
  <c r="BB15" i="19"/>
  <c r="BA15" i="19"/>
  <c r="AZ15" i="19"/>
  <c r="AU15" i="19"/>
  <c r="AP15" i="19"/>
  <c r="AK15" i="19"/>
  <c r="AE15" i="19"/>
  <c r="AD15" i="19"/>
  <c r="AC15" i="19"/>
  <c r="AB15" i="19"/>
  <c r="AA15" i="19"/>
  <c r="V15" i="19"/>
  <c r="Q15" i="19"/>
  <c r="L15" i="19"/>
  <c r="G15" i="19"/>
  <c r="CC14" i="19"/>
  <c r="DG14" i="19" s="1"/>
  <c r="CB14" i="19"/>
  <c r="DF14" i="19" s="1"/>
  <c r="CA14" i="19"/>
  <c r="BZ14" i="19"/>
  <c r="BY14" i="19"/>
  <c r="BT14" i="19"/>
  <c r="BO14" i="19"/>
  <c r="BJ14" i="19"/>
  <c r="BD14" i="19"/>
  <c r="BC14" i="19"/>
  <c r="BB14" i="19"/>
  <c r="BA14" i="19"/>
  <c r="AZ14" i="19"/>
  <c r="AU14" i="19"/>
  <c r="AP14" i="19"/>
  <c r="AK14" i="19"/>
  <c r="AE14" i="19"/>
  <c r="AD14" i="19"/>
  <c r="AC14" i="19"/>
  <c r="AB14" i="19"/>
  <c r="AA14" i="19"/>
  <c r="V14" i="19"/>
  <c r="Q14" i="19"/>
  <c r="L14" i="19"/>
  <c r="G14" i="19"/>
  <c r="CC13" i="19"/>
  <c r="DG13" i="19" s="1"/>
  <c r="CB13" i="19"/>
  <c r="DF13" i="19" s="1"/>
  <c r="CA13" i="19"/>
  <c r="BZ13" i="19"/>
  <c r="BY13" i="19"/>
  <c r="BT13" i="19"/>
  <c r="BO13" i="19"/>
  <c r="BJ13" i="19"/>
  <c r="BD13" i="19"/>
  <c r="BC13" i="19"/>
  <c r="BB13" i="19"/>
  <c r="BA13" i="19"/>
  <c r="AZ13" i="19"/>
  <c r="AU13" i="19"/>
  <c r="AP13" i="19"/>
  <c r="AK13" i="19"/>
  <c r="AE13" i="19"/>
  <c r="AD13" i="19"/>
  <c r="AC13" i="19"/>
  <c r="AB13" i="19"/>
  <c r="AA13" i="19"/>
  <c r="V13" i="19"/>
  <c r="Q13" i="19"/>
  <c r="L13" i="19"/>
  <c r="G13" i="19"/>
  <c r="CC12" i="19"/>
  <c r="DG12" i="19" s="1"/>
  <c r="CB12" i="19"/>
  <c r="DF12" i="19" s="1"/>
  <c r="CA12" i="19"/>
  <c r="BZ12" i="19"/>
  <c r="BY12" i="19"/>
  <c r="BT12" i="19"/>
  <c r="BO12" i="19"/>
  <c r="BJ12" i="19"/>
  <c r="BD12" i="19"/>
  <c r="BC12" i="19"/>
  <c r="BB12" i="19"/>
  <c r="BA12" i="19"/>
  <c r="AZ12" i="19"/>
  <c r="AU12" i="19"/>
  <c r="AP12" i="19"/>
  <c r="AK12" i="19"/>
  <c r="AE12" i="19"/>
  <c r="AD12" i="19"/>
  <c r="AC12" i="19"/>
  <c r="AB12" i="19"/>
  <c r="AA12" i="19"/>
  <c r="V12" i="19"/>
  <c r="Q12" i="19"/>
  <c r="L12" i="19"/>
  <c r="G12" i="19"/>
  <c r="CC11" i="19"/>
  <c r="DG11" i="19" s="1"/>
  <c r="CB11" i="19"/>
  <c r="DF11" i="19" s="1"/>
  <c r="CA11" i="19"/>
  <c r="BZ11" i="19"/>
  <c r="BY11" i="19"/>
  <c r="BT11" i="19"/>
  <c r="BO11" i="19"/>
  <c r="BJ11" i="19"/>
  <c r="BD11" i="19"/>
  <c r="BC11" i="19"/>
  <c r="BB11" i="19"/>
  <c r="BA11" i="19"/>
  <c r="AZ11" i="19"/>
  <c r="AU11" i="19"/>
  <c r="AP11" i="19"/>
  <c r="AK11" i="19"/>
  <c r="AE11" i="19"/>
  <c r="AD11" i="19"/>
  <c r="AC11" i="19"/>
  <c r="AB11" i="19"/>
  <c r="AA11" i="19"/>
  <c r="V11" i="19"/>
  <c r="Q11" i="19"/>
  <c r="L11" i="19"/>
  <c r="G11" i="19"/>
  <c r="CC10" i="19"/>
  <c r="DG10" i="19" s="1"/>
  <c r="CB10" i="19"/>
  <c r="DF10" i="19" s="1"/>
  <c r="CA10" i="19"/>
  <c r="BZ10" i="19"/>
  <c r="BY10" i="19"/>
  <c r="BT10" i="19"/>
  <c r="BO10" i="19"/>
  <c r="BJ10" i="19"/>
  <c r="BD10" i="19"/>
  <c r="BC10" i="19"/>
  <c r="BB10" i="19"/>
  <c r="BA10" i="19"/>
  <c r="AZ10" i="19"/>
  <c r="AU10" i="19"/>
  <c r="AP10" i="19"/>
  <c r="AK10" i="19"/>
  <c r="AE10" i="19"/>
  <c r="AD10" i="19"/>
  <c r="AC10" i="19"/>
  <c r="AB10" i="19"/>
  <c r="AA10" i="19"/>
  <c r="V10" i="19"/>
  <c r="Q10" i="19"/>
  <c r="L10" i="19"/>
  <c r="CC9" i="19"/>
  <c r="DG9" i="19" s="1"/>
  <c r="CB9" i="19"/>
  <c r="DF9" i="19" s="1"/>
  <c r="CA9" i="19"/>
  <c r="BZ9" i="19"/>
  <c r="BY9" i="19"/>
  <c r="BT9" i="19"/>
  <c r="BO9" i="19"/>
  <c r="BJ9" i="19"/>
  <c r="BD9" i="19"/>
  <c r="BC9" i="19"/>
  <c r="BB9" i="19"/>
  <c r="BA9" i="19"/>
  <c r="AZ9" i="19"/>
  <c r="AU9" i="19"/>
  <c r="AP9" i="19"/>
  <c r="AK9" i="19"/>
  <c r="AE9" i="19"/>
  <c r="AD9" i="19"/>
  <c r="AC9" i="19"/>
  <c r="AB9" i="19"/>
  <c r="AA9" i="19"/>
  <c r="V9" i="19"/>
  <c r="Q9" i="19"/>
  <c r="L9" i="19"/>
  <c r="G9" i="19"/>
  <c r="CC8" i="19"/>
  <c r="DG8" i="19" s="1"/>
  <c r="CB8" i="19"/>
  <c r="DF8" i="19" s="1"/>
  <c r="CA8" i="19"/>
  <c r="BZ8" i="19"/>
  <c r="BY8" i="19"/>
  <c r="BT8" i="19"/>
  <c r="BO8" i="19"/>
  <c r="BJ8" i="19"/>
  <c r="BD8" i="19"/>
  <c r="BC8" i="19"/>
  <c r="BB8" i="19"/>
  <c r="BA8" i="19"/>
  <c r="AZ8" i="19"/>
  <c r="AU8" i="19"/>
  <c r="AP8" i="19"/>
  <c r="AK8" i="19"/>
  <c r="AE8" i="19"/>
  <c r="AD8" i="19"/>
  <c r="AC8" i="19"/>
  <c r="AB8" i="19"/>
  <c r="AA8" i="19"/>
  <c r="V8" i="19"/>
  <c r="Q8" i="19"/>
  <c r="L8" i="19"/>
  <c r="G8" i="19"/>
  <c r="CC7" i="19"/>
  <c r="DG7" i="19" s="1"/>
  <c r="CB7" i="19"/>
  <c r="DF7" i="19" s="1"/>
  <c r="CA7" i="19"/>
  <c r="BZ7" i="19"/>
  <c r="BY7" i="19"/>
  <c r="BT7" i="19"/>
  <c r="BO7" i="19"/>
  <c r="BJ7" i="19"/>
  <c r="BD7" i="19"/>
  <c r="BC7" i="19"/>
  <c r="BB7" i="19"/>
  <c r="BA7" i="19"/>
  <c r="AZ7" i="19"/>
  <c r="AU7" i="19"/>
  <c r="AP7" i="19"/>
  <c r="AK7" i="19"/>
  <c r="AE7" i="19"/>
  <c r="AD7" i="19"/>
  <c r="AC7" i="19"/>
  <c r="AB7" i="19"/>
  <c r="AA7" i="19"/>
  <c r="V7" i="19"/>
  <c r="Q7" i="19"/>
  <c r="L7" i="19"/>
  <c r="G7" i="19"/>
  <c r="CC6" i="19"/>
  <c r="DG6" i="19" s="1"/>
  <c r="CB6" i="19"/>
  <c r="DF6" i="19" s="1"/>
  <c r="CA6" i="19"/>
  <c r="BZ6" i="19"/>
  <c r="BY6" i="19"/>
  <c r="BT6" i="19"/>
  <c r="BO6" i="19"/>
  <c r="BJ6" i="19"/>
  <c r="BD6" i="19"/>
  <c r="BC6" i="19"/>
  <c r="BB6" i="19"/>
  <c r="BA6" i="19"/>
  <c r="AZ6" i="19"/>
  <c r="AU6" i="19"/>
  <c r="AP6" i="19"/>
  <c r="AK6" i="19"/>
  <c r="AE6" i="19"/>
  <c r="AD6" i="19"/>
  <c r="AC6" i="19"/>
  <c r="AB6" i="19"/>
  <c r="AA6" i="19"/>
  <c r="V6" i="19"/>
  <c r="Q6" i="19"/>
  <c r="L6" i="19"/>
  <c r="G6" i="19"/>
  <c r="CC5" i="19"/>
  <c r="DG5" i="19" s="1"/>
  <c r="CB5" i="19"/>
  <c r="DF5" i="19" s="1"/>
  <c r="CA5" i="19"/>
  <c r="BZ5" i="19"/>
  <c r="BY5" i="19"/>
  <c r="BT5" i="19"/>
  <c r="BO5" i="19"/>
  <c r="BJ5" i="19"/>
  <c r="BD5" i="19"/>
  <c r="BC5" i="19"/>
  <c r="BB5" i="19"/>
  <c r="BA5" i="19"/>
  <c r="AZ5" i="19"/>
  <c r="AU5" i="19"/>
  <c r="AP5" i="19"/>
  <c r="AK5" i="19"/>
  <c r="AE5" i="19"/>
  <c r="AD5" i="19"/>
  <c r="AC5" i="19"/>
  <c r="AB5" i="19"/>
  <c r="AA5" i="19"/>
  <c r="V5" i="19"/>
  <c r="Q5" i="19"/>
  <c r="L5" i="19"/>
  <c r="G5" i="19"/>
  <c r="CC4" i="19"/>
  <c r="DG4" i="19" s="1"/>
  <c r="CB4" i="19"/>
  <c r="DF4" i="19" s="1"/>
  <c r="CA4" i="19"/>
  <c r="BZ4" i="19"/>
  <c r="BY4" i="19"/>
  <c r="BT4" i="19"/>
  <c r="BO4" i="19"/>
  <c r="BJ4" i="19"/>
  <c r="BD4" i="19"/>
  <c r="BC4" i="19"/>
  <c r="BB4" i="19"/>
  <c r="BA4" i="19"/>
  <c r="AZ4" i="19"/>
  <c r="AU4" i="19"/>
  <c r="AP4" i="19"/>
  <c r="AK4" i="19"/>
  <c r="AE4" i="19"/>
  <c r="AD4" i="19"/>
  <c r="AC4" i="19"/>
  <c r="AB4" i="19"/>
  <c r="AA4" i="19"/>
  <c r="V4" i="19"/>
  <c r="Q4" i="19"/>
  <c r="L4" i="19"/>
  <c r="G4" i="19"/>
  <c r="F37" i="21"/>
  <c r="E23" i="21"/>
  <c r="C6" i="21"/>
  <c r="C10" i="21" s="1"/>
  <c r="F4" i="21"/>
  <c r="C4" i="21"/>
  <c r="E16" i="21" s="1"/>
  <c r="K70" i="14"/>
  <c r="J70" i="14"/>
  <c r="I70" i="14"/>
  <c r="H70" i="14"/>
  <c r="L69" i="14"/>
  <c r="M69" i="14" s="1"/>
  <c r="N69" i="14" s="1"/>
  <c r="L68" i="14"/>
  <c r="M68" i="14" s="1"/>
  <c r="N68" i="14" s="1"/>
  <c r="L67" i="14"/>
  <c r="M67" i="14" s="1"/>
  <c r="N67" i="14" s="1"/>
  <c r="L66" i="14"/>
  <c r="M66" i="14" s="1"/>
  <c r="N66" i="14" s="1"/>
  <c r="L65" i="14"/>
  <c r="M65" i="14" s="1"/>
  <c r="N65" i="14" s="1"/>
  <c r="L64" i="14"/>
  <c r="M64" i="14" s="1"/>
  <c r="N64" i="14" s="1"/>
  <c r="L63" i="14"/>
  <c r="M63" i="14" s="1"/>
  <c r="N63" i="14" s="1"/>
  <c r="L62" i="14"/>
  <c r="M62" i="14" s="1"/>
  <c r="N62" i="14" s="1"/>
  <c r="L61" i="14"/>
  <c r="M61" i="14" s="1"/>
  <c r="N61" i="14" s="1"/>
  <c r="L60" i="14"/>
  <c r="M60" i="14" s="1"/>
  <c r="N60" i="14" s="1"/>
  <c r="L59" i="14"/>
  <c r="M59" i="14" s="1"/>
  <c r="N59" i="14" s="1"/>
  <c r="L58" i="14"/>
  <c r="M58" i="14" s="1"/>
  <c r="N58" i="14" s="1"/>
  <c r="L57" i="14"/>
  <c r="M57" i="14" s="1"/>
  <c r="N57" i="14" s="1"/>
  <c r="L56" i="14"/>
  <c r="M56" i="14" s="1"/>
  <c r="N56" i="14" s="1"/>
  <c r="L55" i="14"/>
  <c r="M55" i="14" s="1"/>
  <c r="N55" i="14" s="1"/>
  <c r="L54" i="14"/>
  <c r="M54" i="14" s="1"/>
  <c r="N54" i="14" s="1"/>
  <c r="L53" i="14"/>
  <c r="M53" i="14" s="1"/>
  <c r="N53" i="14" s="1"/>
  <c r="L52" i="14"/>
  <c r="M52" i="14" s="1"/>
  <c r="N52" i="14" s="1"/>
  <c r="L51" i="14"/>
  <c r="M51" i="14" s="1"/>
  <c r="N51" i="14" s="1"/>
  <c r="L50" i="14"/>
  <c r="M50" i="14" s="1"/>
  <c r="N50" i="14" s="1"/>
  <c r="L49" i="14"/>
  <c r="M49" i="14" s="1"/>
  <c r="N49" i="14" s="1"/>
  <c r="L48" i="14"/>
  <c r="M48" i="14" s="1"/>
  <c r="N48" i="14" s="1"/>
  <c r="L47" i="14"/>
  <c r="M47" i="14" s="1"/>
  <c r="N47" i="14" s="1"/>
  <c r="L46" i="14"/>
  <c r="M46" i="14" s="1"/>
  <c r="N46" i="14" s="1"/>
  <c r="L45" i="14"/>
  <c r="M45" i="14" s="1"/>
  <c r="N45" i="14" s="1"/>
  <c r="L44" i="14"/>
  <c r="M44" i="14" s="1"/>
  <c r="N44" i="14" s="1"/>
  <c r="L43" i="14"/>
  <c r="M43" i="14" s="1"/>
  <c r="N43" i="14" s="1"/>
  <c r="L42" i="14"/>
  <c r="M42" i="14" s="1"/>
  <c r="N42" i="14" s="1"/>
  <c r="L41" i="14"/>
  <c r="M41" i="14" s="1"/>
  <c r="N41" i="14" s="1"/>
  <c r="L40" i="14"/>
  <c r="M40" i="14" s="1"/>
  <c r="N40" i="14" s="1"/>
  <c r="L39" i="14"/>
  <c r="M39" i="14" s="1"/>
  <c r="N39" i="14" s="1"/>
  <c r="L38" i="14"/>
  <c r="M38" i="14" s="1"/>
  <c r="N38" i="14" s="1"/>
  <c r="L37" i="14"/>
  <c r="M37" i="14" s="1"/>
  <c r="N37" i="14" s="1"/>
  <c r="L36" i="14"/>
  <c r="M36" i="14" s="1"/>
  <c r="N36" i="14" s="1"/>
  <c r="L35" i="14"/>
  <c r="M35" i="14" s="1"/>
  <c r="N35" i="14" s="1"/>
  <c r="L34" i="14"/>
  <c r="M34" i="14" s="1"/>
  <c r="N34" i="14" s="1"/>
  <c r="L33" i="14"/>
  <c r="M33" i="14" s="1"/>
  <c r="N33" i="14" s="1"/>
  <c r="L32" i="14"/>
  <c r="M32" i="14" s="1"/>
  <c r="N32" i="14" s="1"/>
  <c r="L31" i="14"/>
  <c r="M31" i="14" s="1"/>
  <c r="N31" i="14" s="1"/>
  <c r="L30" i="14"/>
  <c r="M30" i="14" s="1"/>
  <c r="N30" i="14" s="1"/>
  <c r="L29" i="14"/>
  <c r="M29" i="14" s="1"/>
  <c r="N29" i="14" s="1"/>
  <c r="L28" i="14"/>
  <c r="M28" i="14" s="1"/>
  <c r="N28" i="14" s="1"/>
  <c r="L27" i="14"/>
  <c r="M27" i="14" s="1"/>
  <c r="N27" i="14" s="1"/>
  <c r="L26" i="14"/>
  <c r="M26" i="14" s="1"/>
  <c r="N26" i="14" s="1"/>
  <c r="L25" i="14"/>
  <c r="M25" i="14" s="1"/>
  <c r="N25" i="14" s="1"/>
  <c r="L24" i="14"/>
  <c r="M24" i="14" s="1"/>
  <c r="N24" i="14" s="1"/>
  <c r="L23" i="14"/>
  <c r="M23" i="14" s="1"/>
  <c r="N23" i="14" s="1"/>
  <c r="L22" i="14"/>
  <c r="M22" i="14" s="1"/>
  <c r="N22" i="14" s="1"/>
  <c r="L21" i="14"/>
  <c r="M21" i="14" s="1"/>
  <c r="N21" i="14" s="1"/>
  <c r="L20" i="14"/>
  <c r="M20" i="14" s="1"/>
  <c r="N20" i="14" s="1"/>
  <c r="L19" i="14"/>
  <c r="M19" i="14" s="1"/>
  <c r="N19" i="14" s="1"/>
  <c r="L18" i="14"/>
  <c r="M18" i="14" s="1"/>
  <c r="N18" i="14" s="1"/>
  <c r="L17" i="14"/>
  <c r="M17" i="14" s="1"/>
  <c r="N17" i="14" s="1"/>
  <c r="L16" i="14"/>
  <c r="M16" i="14" s="1"/>
  <c r="N16" i="14" s="1"/>
  <c r="L15" i="14"/>
  <c r="M15" i="14" s="1"/>
  <c r="N15" i="14" s="1"/>
  <c r="L14" i="14"/>
  <c r="M14" i="14" s="1"/>
  <c r="N14" i="14" s="1"/>
  <c r="L13" i="14"/>
  <c r="M13" i="14" s="1"/>
  <c r="N13" i="14" s="1"/>
  <c r="L12" i="14"/>
  <c r="M12" i="14" s="1"/>
  <c r="N12" i="14" s="1"/>
  <c r="L11" i="14"/>
  <c r="M11" i="14" s="1"/>
  <c r="N11" i="14" s="1"/>
  <c r="L10" i="14"/>
  <c r="M10" i="14" s="1"/>
  <c r="N10" i="14" s="1"/>
  <c r="L9" i="14"/>
  <c r="M9" i="14" s="1"/>
  <c r="N9" i="14" s="1"/>
  <c r="L8" i="14"/>
  <c r="M8" i="14" s="1"/>
  <c r="N8" i="14" s="1"/>
  <c r="L7" i="14"/>
  <c r="M7" i="14" s="1"/>
  <c r="N7" i="14" s="1"/>
  <c r="L6" i="14"/>
  <c r="M6" i="14" s="1"/>
  <c r="N6" i="14" s="1"/>
  <c r="L5" i="14"/>
  <c r="M5" i="14" s="1"/>
  <c r="N5" i="14" s="1"/>
  <c r="L4" i="14"/>
  <c r="M4" i="14" s="1"/>
  <c r="N4" i="14" s="1"/>
  <c r="L3" i="14"/>
  <c r="M3" i="14" s="1"/>
  <c r="G1" i="14"/>
  <c r="G72" i="12"/>
  <c r="F72" i="12"/>
  <c r="D72" i="12"/>
  <c r="C72" i="12"/>
  <c r="B72" i="12"/>
  <c r="E66" i="12"/>
  <c r="E64" i="12"/>
  <c r="E62" i="12"/>
  <c r="E59" i="12"/>
  <c r="E51" i="12"/>
  <c r="E41" i="12"/>
  <c r="E40" i="12"/>
  <c r="E32" i="12"/>
  <c r="E31" i="12"/>
  <c r="E24" i="12"/>
  <c r="E21" i="12"/>
  <c r="E13" i="12"/>
  <c r="E12" i="12"/>
  <c r="E11" i="12"/>
  <c r="E6" i="12"/>
  <c r="E5" i="12"/>
  <c r="E72" i="12" s="1"/>
  <c r="F33" i="8"/>
  <c r="E20" i="8"/>
  <c r="G46" i="7" s="1"/>
  <c r="C6" i="8"/>
  <c r="F4" i="8"/>
  <c r="C4" i="8"/>
  <c r="H52" i="3"/>
  <c r="F42" i="3"/>
  <c r="F35" i="3"/>
  <c r="F28" i="3"/>
  <c r="F20" i="3"/>
  <c r="A3" i="3"/>
  <c r="A3" i="21" s="1"/>
  <c r="A2" i="3"/>
  <c r="A2" i="21" s="1"/>
  <c r="CI78" i="19" l="1"/>
  <c r="F46" i="3"/>
  <c r="F48" i="3" s="1"/>
  <c r="G37" i="7" s="1"/>
  <c r="E17" i="8"/>
  <c r="E21" i="8" s="1"/>
  <c r="E12" i="8"/>
  <c r="G41" i="7" s="1"/>
  <c r="E13" i="8"/>
  <c r="A2" i="8"/>
  <c r="H3" i="12"/>
  <c r="C10" i="8"/>
  <c r="C31" i="8"/>
  <c r="F30" i="20"/>
  <c r="E27" i="20"/>
  <c r="D30" i="20"/>
  <c r="D29" i="20"/>
  <c r="F28" i="20"/>
  <c r="D28" i="20"/>
  <c r="F23" i="20"/>
  <c r="F27" i="20"/>
  <c r="D27" i="20"/>
  <c r="D21" i="20"/>
  <c r="E29" i="20"/>
  <c r="E28" i="20"/>
  <c r="F29" i="20"/>
  <c r="E30" i="20"/>
  <c r="F24" i="20"/>
  <c r="F6" i="8"/>
  <c r="F5" i="8"/>
  <c r="E15" i="21"/>
  <c r="E17" i="21" s="1"/>
  <c r="E24" i="20"/>
  <c r="D15" i="20"/>
  <c r="E20" i="21"/>
  <c r="E24" i="21" s="1"/>
  <c r="E25" i="21" s="1"/>
  <c r="E10" i="20"/>
  <c r="F10" i="20"/>
  <c r="E17" i="20"/>
  <c r="D11" i="20"/>
  <c r="E21" i="20"/>
  <c r="E11" i="20"/>
  <c r="F21" i="20"/>
  <c r="G4" i="20"/>
  <c r="I4" i="20" s="1"/>
  <c r="J4" i="20" s="1"/>
  <c r="D22" i="20"/>
  <c r="D16" i="20"/>
  <c r="E22" i="20"/>
  <c r="D8" i="20"/>
  <c r="F16" i="20"/>
  <c r="E8" i="20"/>
  <c r="D17" i="20"/>
  <c r="D9" i="20"/>
  <c r="F11" i="20"/>
  <c r="D18" i="20"/>
  <c r="F22" i="20"/>
  <c r="G22" i="20" s="1"/>
  <c r="H22" i="20" s="1"/>
  <c r="D4" i="20"/>
  <c r="D5" i="20" s="1"/>
  <c r="E9" i="20"/>
  <c r="F18" i="20"/>
  <c r="E23" i="20"/>
  <c r="E4" i="20"/>
  <c r="E5" i="20" s="1"/>
  <c r="F9" i="20"/>
  <c r="E15" i="20"/>
  <c r="F4" i="20"/>
  <c r="F5" i="20" s="1"/>
  <c r="D10" i="20"/>
  <c r="F15" i="20"/>
  <c r="D24" i="20"/>
  <c r="DC77" i="19"/>
  <c r="DC75" i="19"/>
  <c r="DC76" i="19"/>
  <c r="CX78" i="19"/>
  <c r="DC72" i="19"/>
  <c r="DC71" i="19"/>
  <c r="CS78" i="19"/>
  <c r="BT77" i="19"/>
  <c r="BO71" i="19"/>
  <c r="BY72" i="19"/>
  <c r="DH58" i="19"/>
  <c r="DH35" i="19"/>
  <c r="BE36" i="19"/>
  <c r="CD44" i="19"/>
  <c r="BB71" i="19"/>
  <c r="L76" i="19"/>
  <c r="AF70" i="19"/>
  <c r="CD70" i="19"/>
  <c r="V72" i="19"/>
  <c r="AU72" i="19"/>
  <c r="BJ72" i="19"/>
  <c r="BT71" i="19"/>
  <c r="L77" i="19"/>
  <c r="L78" i="19" s="1"/>
  <c r="AZ76" i="19"/>
  <c r="AZ78" i="19" s="1"/>
  <c r="BY77" i="19"/>
  <c r="AP72" i="19"/>
  <c r="AF69" i="19"/>
  <c r="CD69" i="19"/>
  <c r="V75" i="19"/>
  <c r="W75" i="19" s="1"/>
  <c r="AK77" i="19"/>
  <c r="BE69" i="19"/>
  <c r="AA71" i="19"/>
  <c r="BD71" i="19"/>
  <c r="Q77" i="19"/>
  <c r="AA75" i="19"/>
  <c r="AB75" i="19" s="1"/>
  <c r="AP77" i="19"/>
  <c r="BO75" i="19"/>
  <c r="BP75" i="19" s="1"/>
  <c r="BE4" i="19"/>
  <c r="AF68" i="19"/>
  <c r="CD68" i="19"/>
  <c r="G75" i="19"/>
  <c r="Q72" i="19"/>
  <c r="AA72" i="19"/>
  <c r="BO72" i="19"/>
  <c r="BT75" i="19"/>
  <c r="BU75" i="19" s="1"/>
  <c r="DH14" i="19"/>
  <c r="AF41" i="19"/>
  <c r="DH12" i="19"/>
  <c r="DH20" i="19"/>
  <c r="AF7" i="19"/>
  <c r="BE9" i="19"/>
  <c r="AF10" i="19"/>
  <c r="BE10" i="19"/>
  <c r="AF18" i="19"/>
  <c r="CD26" i="19"/>
  <c r="CD43" i="19"/>
  <c r="BE67" i="19"/>
  <c r="BE15" i="19"/>
  <c r="BE23" i="19"/>
  <c r="BE38" i="19"/>
  <c r="BE32" i="19"/>
  <c r="AF39" i="19"/>
  <c r="BE39" i="19"/>
  <c r="BE25" i="19"/>
  <c r="AF65" i="19"/>
  <c r="BE65" i="19"/>
  <c r="BE35" i="19"/>
  <c r="BE58" i="19"/>
  <c r="CD58" i="19"/>
  <c r="CD14" i="19"/>
  <c r="AF61" i="19"/>
  <c r="AF54" i="19"/>
  <c r="BE17" i="19"/>
  <c r="AF24" i="19"/>
  <c r="BE24" i="19"/>
  <c r="CD47" i="19"/>
  <c r="AF49" i="19"/>
  <c r="BE49" i="19"/>
  <c r="CD65" i="19"/>
  <c r="CD13" i="19"/>
  <c r="CD22" i="19"/>
  <c r="BE61" i="19"/>
  <c r="BE27" i="19"/>
  <c r="CD42" i="19"/>
  <c r="CD50" i="19"/>
  <c r="BE51" i="19"/>
  <c r="CD51" i="19"/>
  <c r="DH65" i="19"/>
  <c r="BE66" i="19"/>
  <c r="BE21" i="19"/>
  <c r="BE37" i="19"/>
  <c r="CD60" i="19"/>
  <c r="AF16" i="19"/>
  <c r="CD16" i="19"/>
  <c r="CD27" i="19"/>
  <c r="CD39" i="19"/>
  <c r="BE40" i="19"/>
  <c r="BE44" i="19"/>
  <c r="BE45" i="19"/>
  <c r="CD38" i="19"/>
  <c r="BE5" i="19"/>
  <c r="CD5" i="19"/>
  <c r="BE6" i="19"/>
  <c r="BE41" i="19"/>
  <c r="BE48" i="19"/>
  <c r="AF6" i="19"/>
  <c r="AF23" i="19"/>
  <c r="CD66" i="19"/>
  <c r="AF19" i="19"/>
  <c r="CD29" i="19"/>
  <c r="BE53" i="19"/>
  <c r="CD8" i="19"/>
  <c r="DH25" i="19"/>
  <c r="DH31" i="19"/>
  <c r="BE31" i="19"/>
  <c r="DH43" i="19"/>
  <c r="BE43" i="19"/>
  <c r="AF47" i="19"/>
  <c r="BE47" i="19"/>
  <c r="CD62" i="19"/>
  <c r="BE8" i="19"/>
  <c r="BE14" i="19"/>
  <c r="CD17" i="19"/>
  <c r="BE22" i="19"/>
  <c r="AF25" i="19"/>
  <c r="AF28" i="19"/>
  <c r="BE29" i="19"/>
  <c r="DH34" i="19"/>
  <c r="BE34" i="19"/>
  <c r="CD34" i="19"/>
  <c r="CD37" i="19"/>
  <c r="CD40" i="19"/>
  <c r="CD45" i="19"/>
  <c r="CD54" i="19"/>
  <c r="BE60" i="19"/>
  <c r="CD9" i="19"/>
  <c r="AF26" i="19"/>
  <c r="BE30" i="19"/>
  <c r="CD35" i="19"/>
  <c r="BE46" i="19"/>
  <c r="CD67" i="19"/>
  <c r="CD10" i="19"/>
  <c r="AF11" i="19"/>
  <c r="CD11" i="19"/>
  <c r="BE16" i="19"/>
  <c r="BE19" i="19"/>
  <c r="CD23" i="19"/>
  <c r="CD31" i="19"/>
  <c r="BE68" i="19"/>
  <c r="DH21" i="19"/>
  <c r="AD71" i="19"/>
  <c r="CD7" i="19"/>
  <c r="CD24" i="19"/>
  <c r="DH33" i="19"/>
  <c r="BE33" i="19"/>
  <c r="CD36" i="19"/>
  <c r="BE52" i="19"/>
  <c r="CD52" i="19"/>
  <c r="AF59" i="19"/>
  <c r="BE59" i="19"/>
  <c r="AF5" i="19"/>
  <c r="BE11" i="19"/>
  <c r="BE12" i="19"/>
  <c r="CD12" i="19"/>
  <c r="AF15" i="19"/>
  <c r="CD15" i="19"/>
  <c r="AF17" i="19"/>
  <c r="CD19" i="19"/>
  <c r="DH24" i="19"/>
  <c r="DH26" i="19"/>
  <c r="BE28" i="19"/>
  <c r="CD28" i="19"/>
  <c r="CD30" i="19"/>
  <c r="CD32" i="19"/>
  <c r="AF40" i="19"/>
  <c r="AF42" i="19"/>
  <c r="BE42" i="19"/>
  <c r="AF44" i="19"/>
  <c r="AF48" i="19"/>
  <c r="AF50" i="19"/>
  <c r="BE50" i="19"/>
  <c r="AF52" i="19"/>
  <c r="BE18" i="19"/>
  <c r="DH22" i="19"/>
  <c r="DH51" i="19"/>
  <c r="BE7" i="19"/>
  <c r="DH13" i="19"/>
  <c r="BE13" i="19"/>
  <c r="BE20" i="19"/>
  <c r="CD20" i="19"/>
  <c r="AF36" i="19"/>
  <c r="DH44" i="19"/>
  <c r="AF62" i="19"/>
  <c r="AF63" i="19"/>
  <c r="CD63" i="19"/>
  <c r="AF67" i="19"/>
  <c r="CD18" i="19"/>
  <c r="AF32" i="19"/>
  <c r="AF53" i="19"/>
  <c r="DH32" i="19"/>
  <c r="CD46" i="19"/>
  <c r="CD48" i="19"/>
  <c r="AF55" i="19"/>
  <c r="BE55" i="19"/>
  <c r="CD55" i="19"/>
  <c r="CD59" i="19"/>
  <c r="BE64" i="19"/>
  <c r="CD64" i="19"/>
  <c r="AF34" i="19"/>
  <c r="DH66" i="19"/>
  <c r="DH5" i="19"/>
  <c r="AF9" i="19"/>
  <c r="AF14" i="19"/>
  <c r="CD21" i="19"/>
  <c r="AF31" i="19"/>
  <c r="AF33" i="19"/>
  <c r="DH40" i="19"/>
  <c r="DH42" i="19"/>
  <c r="DH48" i="19"/>
  <c r="BE56" i="19"/>
  <c r="CD56" i="19"/>
  <c r="AF60" i="19"/>
  <c r="DH11" i="19"/>
  <c r="BZ71" i="19"/>
  <c r="AF22" i="19"/>
  <c r="BE26" i="19"/>
  <c r="AF30" i="19"/>
  <c r="DH57" i="19"/>
  <c r="CD6" i="19"/>
  <c r="AF8" i="19"/>
  <c r="DH8" i="19"/>
  <c r="AF57" i="19"/>
  <c r="BE57" i="19"/>
  <c r="CD57" i="19"/>
  <c r="H67" i="12"/>
  <c r="H55" i="12"/>
  <c r="H48" i="12"/>
  <c r="H34" i="12"/>
  <c r="H28" i="12"/>
  <c r="H21" i="12"/>
  <c r="H14" i="12"/>
  <c r="H65" i="12"/>
  <c r="H59" i="12"/>
  <c r="H52" i="12"/>
  <c r="H45" i="12"/>
  <c r="H39" i="12"/>
  <c r="H25" i="12"/>
  <c r="H19" i="12"/>
  <c r="H12" i="12"/>
  <c r="H71" i="12"/>
  <c r="H64" i="12"/>
  <c r="H51" i="12"/>
  <c r="H6" i="12"/>
  <c r="H44" i="12"/>
  <c r="H62" i="12"/>
  <c r="H54" i="12"/>
  <c r="H43" i="12"/>
  <c r="H36" i="12"/>
  <c r="H29" i="12"/>
  <c r="H20" i="12"/>
  <c r="H11" i="12"/>
  <c r="H5" i="12"/>
  <c r="H70" i="12"/>
  <c r="H42" i="12"/>
  <c r="H69" i="12"/>
  <c r="H61" i="12"/>
  <c r="H41" i="12"/>
  <c r="H33" i="12"/>
  <c r="H26" i="12"/>
  <c r="H17" i="12"/>
  <c r="H10" i="12"/>
  <c r="H68" i="12"/>
  <c r="H60" i="12"/>
  <c r="H50" i="12"/>
  <c r="H32" i="12"/>
  <c r="H24" i="12"/>
  <c r="H16" i="12"/>
  <c r="H9" i="12"/>
  <c r="H63" i="12"/>
  <c r="H53" i="12"/>
  <c r="H27" i="12"/>
  <c r="H18" i="12"/>
  <c r="H66" i="12"/>
  <c r="H49" i="12"/>
  <c r="H40" i="12"/>
  <c r="H15" i="12"/>
  <c r="H8" i="12"/>
  <c r="H30" i="12"/>
  <c r="H35" i="12"/>
  <c r="H58" i="12"/>
  <c r="H47" i="12"/>
  <c r="H31" i="12"/>
  <c r="H23" i="12"/>
  <c r="H13" i="12"/>
  <c r="H7" i="12"/>
  <c r="H57" i="12"/>
  <c r="H46" i="12"/>
  <c r="H38" i="12"/>
  <c r="H22" i="12"/>
  <c r="H56" i="12"/>
  <c r="H37" i="12"/>
  <c r="L70" i="14"/>
  <c r="A3" i="8"/>
  <c r="N3" i="14"/>
  <c r="N70" i="14" s="1"/>
  <c r="M70" i="14"/>
  <c r="G71" i="19"/>
  <c r="G73" i="19" s="1"/>
  <c r="AE71" i="19"/>
  <c r="CA71" i="19"/>
  <c r="AF12" i="19"/>
  <c r="AF20" i="19"/>
  <c r="G80" i="19"/>
  <c r="G79" i="19"/>
  <c r="L71" i="19"/>
  <c r="AF4" i="19"/>
  <c r="CB71" i="19"/>
  <c r="AF13" i="19"/>
  <c r="AF21" i="19"/>
  <c r="AF27" i="19"/>
  <c r="DH30" i="19"/>
  <c r="AF35" i="19"/>
  <c r="AF43" i="19"/>
  <c r="DH46" i="19"/>
  <c r="AF51" i="19"/>
  <c r="CD53" i="19"/>
  <c r="CD61" i="19"/>
  <c r="Q71" i="19"/>
  <c r="AK71" i="19"/>
  <c r="CC71" i="19"/>
  <c r="DH29" i="19"/>
  <c r="G78" i="19"/>
  <c r="H78" i="19" s="1"/>
  <c r="V71" i="19"/>
  <c r="AP71" i="19"/>
  <c r="BJ71" i="19"/>
  <c r="CD4" i="19"/>
  <c r="CD25" i="19"/>
  <c r="AF29" i="19"/>
  <c r="CD33" i="19"/>
  <c r="AF37" i="19"/>
  <c r="AF38" i="19"/>
  <c r="CD41" i="19"/>
  <c r="AF45" i="19"/>
  <c r="AF46" i="19"/>
  <c r="CD49" i="19"/>
  <c r="BE54" i="19"/>
  <c r="BE62" i="19"/>
  <c r="AZ72" i="19"/>
  <c r="AU71" i="19"/>
  <c r="DH63" i="19"/>
  <c r="BE63" i="19"/>
  <c r="AB71" i="19"/>
  <c r="AZ71" i="19"/>
  <c r="AU77" i="19"/>
  <c r="AU76" i="19"/>
  <c r="AU75" i="19"/>
  <c r="AV75" i="19" s="1"/>
  <c r="BJ75" i="19"/>
  <c r="BK75" i="19" s="1"/>
  <c r="AC71" i="19"/>
  <c r="BY71" i="19"/>
  <c r="DH4" i="19"/>
  <c r="DH56" i="19"/>
  <c r="AF56" i="19"/>
  <c r="DH64" i="19"/>
  <c r="AF64" i="19"/>
  <c r="BE70" i="19"/>
  <c r="L72" i="19"/>
  <c r="BC71" i="19"/>
  <c r="BE72" i="19" s="1"/>
  <c r="AK72" i="19"/>
  <c r="DH67" i="19"/>
  <c r="BA71" i="19"/>
  <c r="BT72" i="19"/>
  <c r="Q75" i="19"/>
  <c r="R75" i="19" s="1"/>
  <c r="AK75" i="19"/>
  <c r="AL75" i="19" s="1"/>
  <c r="BY75" i="19"/>
  <c r="BZ75" i="19" s="1"/>
  <c r="V76" i="19"/>
  <c r="BJ76" i="19"/>
  <c r="V77" i="19"/>
  <c r="BJ77" i="19"/>
  <c r="AA76" i="19"/>
  <c r="BO76" i="19"/>
  <c r="AA77" i="19"/>
  <c r="BO77" i="19"/>
  <c r="E18" i="20"/>
  <c r="DH53" i="19"/>
  <c r="AF58" i="19"/>
  <c r="AF66" i="19"/>
  <c r="AP75" i="19"/>
  <c r="AQ75" i="19" s="1"/>
  <c r="BT76" i="19"/>
  <c r="BT78" i="19" s="1"/>
  <c r="DH69" i="19"/>
  <c r="AK76" i="19"/>
  <c r="BY76" i="19"/>
  <c r="BY78" i="19" s="1"/>
  <c r="F8" i="20"/>
  <c r="E16" i="20"/>
  <c r="F17" i="20"/>
  <c r="D23" i="20"/>
  <c r="DH55" i="19"/>
  <c r="AP76" i="19"/>
  <c r="AP78" i="19" s="1"/>
  <c r="Q76" i="19"/>
  <c r="Q78" i="19" s="1"/>
  <c r="I1" i="14" l="1"/>
  <c r="H46" i="3" s="1"/>
  <c r="F10" i="8"/>
  <c r="F31" i="8" s="1"/>
  <c r="F34" i="8" s="1"/>
  <c r="F10" i="21"/>
  <c r="F35" i="21" s="1"/>
  <c r="F38" i="21" s="1"/>
  <c r="G30" i="20"/>
  <c r="H30" i="20" s="1"/>
  <c r="F31" i="20"/>
  <c r="D19" i="20"/>
  <c r="G28" i="20"/>
  <c r="H28" i="20" s="1"/>
  <c r="G29" i="20"/>
  <c r="H29" i="20" s="1"/>
  <c r="F12" i="20"/>
  <c r="E14" i="8"/>
  <c r="G43" i="7" s="1"/>
  <c r="D25" i="20"/>
  <c r="G24" i="20"/>
  <c r="H24" i="20" s="1"/>
  <c r="D12" i="20"/>
  <c r="E31" i="20"/>
  <c r="G27" i="20"/>
  <c r="H27" i="20" s="1"/>
  <c r="D31" i="20"/>
  <c r="E29" i="21"/>
  <c r="F29" i="21" s="1"/>
  <c r="F25" i="20"/>
  <c r="E12" i="20"/>
  <c r="F19" i="20"/>
  <c r="E25" i="20"/>
  <c r="E19" i="20"/>
  <c r="G16" i="20"/>
  <c r="H16" i="20" s="1"/>
  <c r="G10" i="20"/>
  <c r="H10" i="20" s="1"/>
  <c r="G11" i="20"/>
  <c r="H11" i="20" s="1"/>
  <c r="G17" i="20"/>
  <c r="H17" i="20" s="1"/>
  <c r="G9" i="20"/>
  <c r="H9" i="20" s="1"/>
  <c r="G5" i="20"/>
  <c r="G21" i="20"/>
  <c r="H21" i="20" s="1"/>
  <c r="H4" i="20"/>
  <c r="H5" i="20" s="1"/>
  <c r="G23" i="20"/>
  <c r="H23" i="20" s="1"/>
  <c r="G18" i="20"/>
  <c r="H18" i="20" s="1"/>
  <c r="G15" i="20"/>
  <c r="H15" i="20" s="1"/>
  <c r="DC78" i="19"/>
  <c r="AK78" i="19"/>
  <c r="DH59" i="19"/>
  <c r="DH27" i="19"/>
  <c r="DH50" i="19"/>
  <c r="DH52" i="19"/>
  <c r="CD76" i="19"/>
  <c r="V78" i="19"/>
  <c r="AA78" i="19"/>
  <c r="DH70" i="19"/>
  <c r="G81" i="19"/>
  <c r="DH68" i="19"/>
  <c r="BJ78" i="19"/>
  <c r="AU78" i="19"/>
  <c r="DH62" i="19"/>
  <c r="DH54" i="19"/>
  <c r="DH41" i="19"/>
  <c r="DH7" i="19"/>
  <c r="DH18" i="19"/>
  <c r="DH28" i="19"/>
  <c r="DH45" i="19"/>
  <c r="DH15" i="19"/>
  <c r="DH10" i="19"/>
  <c r="DH47" i="19"/>
  <c r="DH49" i="19"/>
  <c r="AF72" i="19"/>
  <c r="DH39" i="19"/>
  <c r="DE71" i="19"/>
  <c r="CD75" i="19"/>
  <c r="DD75" i="19" s="1"/>
  <c r="DH37" i="19"/>
  <c r="DH36" i="19"/>
  <c r="DH38" i="19"/>
  <c r="DH23" i="19"/>
  <c r="DH9" i="19"/>
  <c r="DH17" i="19"/>
  <c r="DH6" i="19"/>
  <c r="DH16" i="19"/>
  <c r="DF71" i="19"/>
  <c r="DH60" i="19"/>
  <c r="BE71" i="19"/>
  <c r="DH61" i="19"/>
  <c r="CD77" i="19"/>
  <c r="DG71" i="19"/>
  <c r="DH19" i="19"/>
  <c r="AF77" i="19"/>
  <c r="AF76" i="19"/>
  <c r="AF75" i="19"/>
  <c r="AG75" i="19" s="1"/>
  <c r="CD71" i="19"/>
  <c r="AF71" i="19"/>
  <c r="BO78" i="19"/>
  <c r="E22" i="8"/>
  <c r="E25" i="8"/>
  <c r="H72" i="12"/>
  <c r="G8" i="20"/>
  <c r="BE77" i="19"/>
  <c r="BE76" i="19"/>
  <c r="BE75" i="19"/>
  <c r="BF75" i="19" s="1"/>
  <c r="DD71" i="19"/>
  <c r="E18" i="21"/>
  <c r="E28" i="21"/>
  <c r="F28" i="21" s="1"/>
  <c r="CD72" i="19"/>
  <c r="G31" i="20" l="1"/>
  <c r="H31" i="20" s="1"/>
  <c r="E15" i="8"/>
  <c r="G12" i="20"/>
  <c r="H12" i="20" s="1"/>
  <c r="G42" i="7"/>
  <c r="E24" i="8"/>
  <c r="F26" i="8" s="1"/>
  <c r="G25" i="20"/>
  <c r="H25" i="20" s="1"/>
  <c r="G19" i="20"/>
  <c r="H19" i="20" s="1"/>
  <c r="CD78" i="19"/>
  <c r="DH72" i="19"/>
  <c r="AF78" i="19"/>
  <c r="DH71" i="19"/>
  <c r="DH77" i="19"/>
  <c r="DH76" i="19"/>
  <c r="DH75" i="19"/>
  <c r="DI75" i="19" s="1"/>
  <c r="BE78" i="19"/>
  <c r="H8" i="20"/>
  <c r="I8" i="20"/>
  <c r="DH78" i="19" l="1"/>
  <c r="J8" i="20"/>
  <c r="I9" i="20"/>
  <c r="F55" i="3"/>
  <c r="G39" i="7" s="1"/>
  <c r="F27" i="8"/>
  <c r="F52" i="3"/>
  <c r="F28" i="8"/>
  <c r="G38" i="7" l="1"/>
  <c r="F57" i="3"/>
  <c r="G40" i="7" s="1"/>
  <c r="J9" i="20"/>
  <c r="I10" i="20"/>
  <c r="J10" i="20" l="1"/>
  <c r="I11" i="20"/>
  <c r="J11" i="20" l="1"/>
  <c r="I15" i="20"/>
  <c r="J15" i="20" l="1"/>
  <c r="I16" i="20"/>
  <c r="J16" i="20" l="1"/>
  <c r="I17" i="20"/>
  <c r="J17" i="20" l="1"/>
  <c r="I18" i="20"/>
  <c r="J18" i="20" l="1"/>
  <c r="I21" i="20"/>
  <c r="J21" i="20" l="1"/>
  <c r="I22" i="20"/>
  <c r="E12" i="21"/>
  <c r="E27" i="21" l="1"/>
  <c r="E13" i="21"/>
  <c r="J22" i="20"/>
  <c r="I23" i="20"/>
  <c r="J23" i="20" l="1"/>
  <c r="I24" i="20"/>
  <c r="F27" i="21"/>
  <c r="F30" i="21"/>
  <c r="J24" i="20" l="1"/>
  <c r="I27" i="20"/>
  <c r="F31" i="21"/>
  <c r="F32" i="21"/>
  <c r="J27" i="20" l="1"/>
  <c r="I28" i="20"/>
  <c r="J28" i="20" l="1"/>
  <c r="I29" i="20"/>
  <c r="J29" i="20" l="1"/>
  <c r="I30" i="20"/>
  <c r="J30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F32" authorId="0" shapeId="0" xr:uid="{00000000-0006-0000-0100-000001000000}">
      <text>
        <r>
          <rPr>
            <b/>
            <sz val="9"/>
            <color indexed="81"/>
            <rFont val="Franklin Gothic Demi"/>
            <family val="2"/>
            <scheme val="major"/>
          </rPr>
          <t>Justin Douglas: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Franklin Gothic Book"/>
            <family val="2"/>
            <scheme val="minor"/>
          </rPr>
          <t xml:space="preserve">If the amount in cell ref. F27 (for the </t>
        </r>
        <r>
          <rPr>
            <i/>
            <sz val="9"/>
            <color indexed="81"/>
            <rFont val="Franklin Gothic Book"/>
            <family val="2"/>
            <scheme val="minor"/>
          </rPr>
          <t>Cumulative +/- Excess (Over)/Under for Periods calculated by CCOC</t>
        </r>
        <r>
          <rPr>
            <sz val="9"/>
            <color indexed="81"/>
            <rFont val="Franklin Gothic Book"/>
            <family val="2"/>
            <scheme val="minor"/>
          </rPr>
          <t xml:space="preserve">) does not agree with the amount calculated by Clerk/Staff, please adjust this amount by entering an amount in cell ref. F33 (for </t>
        </r>
        <r>
          <rPr>
            <i/>
            <sz val="9"/>
            <color indexed="81"/>
            <rFont val="Franklin Gothic Book"/>
            <family val="2"/>
            <scheme val="minor"/>
          </rPr>
          <t>Adjusted Cumulative +/- Excess (Over)/Under-Expended Amount Calculated by Clerk/Staff</t>
        </r>
        <r>
          <rPr>
            <sz val="9"/>
            <color indexed="81"/>
            <rFont val="Franklin Gothic Book"/>
            <family val="2"/>
            <scheme val="minor"/>
          </rPr>
          <t xml:space="preserve">).  </t>
        </r>
        <r>
          <rPr>
            <b/>
            <sz val="9"/>
            <color indexed="81"/>
            <rFont val="Franklin Gothic Book"/>
            <family val="2"/>
            <scheme val="minor"/>
          </rPr>
          <t>Note</t>
        </r>
        <r>
          <rPr>
            <sz val="9"/>
            <color indexed="81"/>
            <rFont val="Franklin Gothic Book"/>
            <family val="2"/>
            <scheme val="minor"/>
          </rPr>
          <t>: cell ref. F35 (</t>
        </r>
        <r>
          <rPr>
            <i/>
            <sz val="9"/>
            <color indexed="81"/>
            <rFont val="Franklin Gothic Book"/>
            <family val="2"/>
            <scheme val="minor"/>
          </rPr>
          <t>Adjusted Request Amount</t>
        </r>
        <r>
          <rPr>
            <sz val="9"/>
            <color indexed="81"/>
            <rFont val="Franklin Gothic Book"/>
            <family val="2"/>
            <scheme val="minor"/>
          </rPr>
          <t xml:space="preserve"> will update automatically and should match Clerk/Staff's Request amount.) </t>
        </r>
        <r>
          <rPr>
            <b/>
            <u/>
            <sz val="9"/>
            <color indexed="81"/>
            <rFont val="Franklin Gothic Book"/>
            <family val="2"/>
            <scheme val="minor"/>
          </rPr>
          <t>Important: please include a comment in the "Additional Info" section (Green box below - Row 38)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E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Adjusted for unadjusted prior period carry forward. 
</t>
        </r>
      </text>
    </comment>
    <comment ref="E1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Previous unaccounted for excess carryforward.  Spoke with Kathy Stewart and she had a December balance of (918.53) - liability, which means that she had "Money On-Hand" that was unaccounted for, that needed to be backed out of this estimate.  After speaking with Kathy and making this adjustement, our numbers agree. -  JWD 04/22/2019</t>
        </r>
      </text>
    </comment>
    <comment ref="E1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Worked with Paula Bonfig and both our numbers agreed independtly.  - 05/03/2019 - JWD</t>
        </r>
      </text>
    </comment>
    <comment ref="E21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To adjust for carry forward. Worked with Jennifer Barker and numbers agree. 05/03/2019</t>
        </r>
      </text>
    </comment>
    <comment ref="E24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Justin Douglas:
To adjust for Carry Forward from Oct-</t>
        </r>
        <r>
          <rPr>
            <sz val="9"/>
            <color indexed="81"/>
            <rFont val="Tahoma"/>
            <family val="2"/>
          </rPr>
          <t>Nov-Dec - worked with Kaci McCagh and numbers agree. - JWD 05/03/2019</t>
        </r>
      </text>
    </comment>
    <comment ref="E64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Justin Douglas:
Spoke with Clerk Hayward. 1 cent adjustement-JWD 04/22/2019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F36" authorId="0" shapeId="0" xr:uid="{20B8F30C-0C72-44BF-97AF-8071F4F7BF54}">
      <text>
        <r>
          <rPr>
            <b/>
            <sz val="9"/>
            <color indexed="81"/>
            <rFont val="Franklin Gothic Demi"/>
            <family val="2"/>
            <scheme val="major"/>
          </rPr>
          <t>Justin Douglas: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Franklin Gothic Book"/>
            <family val="2"/>
            <scheme val="minor"/>
          </rPr>
          <t xml:space="preserve">If the amount in cell ref. F27 (for the </t>
        </r>
        <r>
          <rPr>
            <i/>
            <sz val="9"/>
            <color indexed="81"/>
            <rFont val="Franklin Gothic Book"/>
            <family val="2"/>
            <scheme val="minor"/>
          </rPr>
          <t>Cumulative +/- Excess (Over)/Under for Periods calculated by CCOC</t>
        </r>
        <r>
          <rPr>
            <sz val="9"/>
            <color indexed="81"/>
            <rFont val="Franklin Gothic Book"/>
            <family val="2"/>
            <scheme val="minor"/>
          </rPr>
          <t xml:space="preserve">) does not agree with the amount calculated by Clerk/Staff, please adjust this amount by entering an amount in cell ref. F33 (for </t>
        </r>
        <r>
          <rPr>
            <i/>
            <sz val="9"/>
            <color indexed="81"/>
            <rFont val="Franklin Gothic Book"/>
            <family val="2"/>
            <scheme val="minor"/>
          </rPr>
          <t>Adjusted Cumulative +/- Excess (Over)/Under-Expended Amount Calculated by Clerk/Staff</t>
        </r>
        <r>
          <rPr>
            <sz val="9"/>
            <color indexed="81"/>
            <rFont val="Franklin Gothic Book"/>
            <family val="2"/>
            <scheme val="minor"/>
          </rPr>
          <t xml:space="preserve">).  </t>
        </r>
        <r>
          <rPr>
            <b/>
            <sz val="9"/>
            <color indexed="81"/>
            <rFont val="Franklin Gothic Book"/>
            <family val="2"/>
            <scheme val="minor"/>
          </rPr>
          <t>Note</t>
        </r>
        <r>
          <rPr>
            <sz val="9"/>
            <color indexed="81"/>
            <rFont val="Franklin Gothic Book"/>
            <family val="2"/>
            <scheme val="minor"/>
          </rPr>
          <t>: cell ref. F35 (</t>
        </r>
        <r>
          <rPr>
            <i/>
            <sz val="9"/>
            <color indexed="81"/>
            <rFont val="Franklin Gothic Book"/>
            <family val="2"/>
            <scheme val="minor"/>
          </rPr>
          <t>Adjusted Request Amount</t>
        </r>
        <r>
          <rPr>
            <sz val="9"/>
            <color indexed="81"/>
            <rFont val="Franklin Gothic Book"/>
            <family val="2"/>
            <scheme val="minor"/>
          </rPr>
          <t xml:space="preserve"> will update automatically and should match Clerk/Staff's Request amount.) </t>
        </r>
        <r>
          <rPr>
            <b/>
            <u/>
            <sz val="9"/>
            <color indexed="81"/>
            <rFont val="Franklin Gothic Book"/>
            <family val="2"/>
            <scheme val="minor"/>
          </rPr>
          <t>Important: please include a comment in the "Additional Info" section (Green box below - Row 38)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G1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Per JK at CCOC on 08/03/2016 - (257.16) (Over)-Expended amount was to be included on EC Report - Row113 for Juror Related Expenditures.  This needs to be backed out - of current jury (Over)UnderCalculation. - JWD 11/8/18.</t>
        </r>
      </text>
    </comment>
    <comment ref="C20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Verified the actual submission made by Flagler - JWD 05/03/2019</t>
        </r>
      </text>
    </comment>
    <comment ref="V7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Was increased due to positive pro-ration. So that all available qtr funding would be used.</t>
        </r>
      </text>
    </comment>
    <comment ref="AK7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True Up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F24" authorId="0" shapeId="0" xr:uid="{6A87C9E2-23AC-4C88-9DE3-00C377970CDC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Used as a plug to tie figures to Estimating Tool.  Clerks will input actual data when filling out finalized form.</t>
        </r>
      </text>
    </comment>
  </commentList>
</comments>
</file>

<file path=xl/sharedStrings.xml><?xml version="1.0" encoding="utf-8"?>
<sst xmlns="http://schemas.openxmlformats.org/spreadsheetml/2006/main" count="1474" uniqueCount="383">
  <si>
    <t>Clerk Personnel Cost</t>
  </si>
  <si>
    <t>Postage</t>
  </si>
  <si>
    <t>Juror Cost</t>
  </si>
  <si>
    <t>Petit Juror Payment (per day)</t>
  </si>
  <si>
    <t>Other Payment Amount</t>
  </si>
  <si>
    <t>Grand Juror Payment (per day)</t>
  </si>
  <si>
    <t>Meals</t>
  </si>
  <si>
    <t>Breakfast</t>
  </si>
  <si>
    <t>Lunch</t>
  </si>
  <si>
    <t>Dinner</t>
  </si>
  <si>
    <t>Lodging</t>
  </si>
  <si>
    <t>Pinellas</t>
  </si>
  <si>
    <t>Printing</t>
  </si>
  <si>
    <t>Supplies</t>
  </si>
  <si>
    <t>Other (Include Examples Below)</t>
  </si>
  <si>
    <t>Notes:</t>
  </si>
  <si>
    <t>Alachua</t>
  </si>
  <si>
    <t>Baker</t>
  </si>
  <si>
    <t>Bay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</si>
  <si>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</si>
  <si>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</si>
  <si>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</si>
  <si>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</si>
  <si>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</si>
  <si>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</si>
  <si>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</si>
  <si>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</si>
  <si>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</si>
  <si>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</si>
  <si>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</si>
  <si>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</si>
  <si>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</si>
  <si>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</si>
  <si>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</si>
  <si>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</si>
  <si>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</si>
  <si>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</si>
  <si>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</si>
  <si>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</si>
  <si>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</si>
  <si>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</si>
  <si>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</si>
  <si>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</si>
  <si>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</si>
  <si>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</si>
  <si>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</si>
  <si>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</si>
  <si>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</si>
  <si>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</si>
  <si>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</si>
  <si>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</si>
  <si>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</si>
  <si>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</si>
  <si>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</si>
  <si>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</si>
  <si>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</si>
  <si>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</si>
  <si>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</si>
  <si>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</si>
  <si>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</si>
  <si>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</si>
  <si>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</si>
  <si>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</si>
  <si>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</si>
  <si>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</si>
  <si>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Polk</t>
  </si>
  <si>
    <t>Putnam</t>
  </si>
  <si>
    <t>Santa Rosa</t>
  </si>
  <si>
    <t>Sarasota</t>
  </si>
  <si>
    <t>Seminole</t>
  </si>
  <si>
    <t>St. Johns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</si>
  <si>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</si>
  <si>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</si>
  <si>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</si>
  <si>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</si>
  <si>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</si>
  <si>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</si>
  <si>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</si>
  <si>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</si>
  <si>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(Include cost of Summons procedure)</t>
  </si>
  <si>
    <t>Clerk Operational Cost</t>
  </si>
  <si>
    <t>Bradford</t>
  </si>
  <si>
    <t>St. Lucie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</si>
  <si>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</si>
  <si>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</si>
  <si>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</si>
  <si>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</si>
  <si>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</si>
  <si>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</si>
  <si>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</si>
  <si>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</si>
  <si>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</si>
  <si>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</si>
  <si>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</si>
  <si>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</si>
  <si>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Dade</t>
  </si>
  <si>
    <t xml:space="preserve">Total ESTIMATED Jury Management Cost      </t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</si>
  <si>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Two</t>
    </r>
    <r>
      <rPr>
        <sz val="11"/>
        <color theme="1"/>
        <rFont val="Franklin Gothic Book"/>
        <family val="2"/>
        <scheme val="minor"/>
      </rPr>
      <t xml:space="preserve"> Amount)</t>
    </r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</si>
  <si>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Three</t>
    </r>
    <r>
      <rPr>
        <sz val="11"/>
        <color theme="1"/>
        <rFont val="Franklin Gothic Book"/>
        <family val="2"/>
        <scheme val="minor"/>
      </rPr>
      <t xml:space="preserve"> Amount)</t>
    </r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</si>
  <si>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One</t>
    </r>
    <r>
      <rPr>
        <sz val="11"/>
        <color theme="1"/>
        <rFont val="Franklin Gothic Book"/>
        <family val="2"/>
        <scheme val="minor"/>
      </rPr>
      <t xml:space="preserve"> Amount)</t>
    </r>
  </si>
  <si>
    <t xml:space="preserve">Total REQUESTED Jury Management Disbursement     </t>
  </si>
  <si>
    <t xml:space="preserve">County: </t>
  </si>
  <si>
    <t>Contact: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</si>
  <si>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</si>
  <si>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</si>
  <si>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</si>
  <si>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</si>
  <si>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</si>
  <si>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</si>
  <si>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</si>
  <si>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</si>
  <si>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</si>
  <si>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</si>
  <si>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</si>
  <si>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</si>
  <si>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</si>
  <si>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Report Qtr Dates</t>
  </si>
  <si>
    <t>Clerk Personnel - Include Managers/Supervisors, Deputies, etc. in all phases of jury management process</t>
  </si>
  <si>
    <t xml:space="preserve">Total Clerk Operational Cost:  </t>
  </si>
  <si>
    <t xml:space="preserve">Total Petit Juror Payment:  </t>
  </si>
  <si>
    <t xml:space="preserve">Total Grand Jury Payment:  </t>
  </si>
  <si>
    <t xml:space="preserve">Meal Total:  </t>
  </si>
  <si>
    <t xml:space="preserve">Lodging Total:  </t>
  </si>
  <si>
    <t xml:space="preserve">Total Juror Cost:  </t>
  </si>
  <si>
    <t>The Total REQUESTED Jury Management Disbursement can be amended before submission to the JAC</t>
  </si>
  <si>
    <t>The Total ESTIMATED Jury Management Cost can be amended before submission to the JAC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</si>
  <si>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</si>
  <si>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</si>
  <si>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</si>
  <si>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</si>
  <si>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</si>
  <si>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</si>
  <si>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</si>
  <si>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</si>
  <si>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</si>
  <si>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A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</si>
  <si>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</si>
  <si>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</si>
  <si>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</si>
  <si>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</si>
  <si>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</si>
  <si>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</si>
  <si>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</si>
  <si>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</si>
  <si>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FiscalYearID</t>
  </si>
  <si>
    <t>ReportID</t>
  </si>
  <si>
    <t>Jury Est</t>
  </si>
  <si>
    <t>SubFolder Name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</si>
  <si>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</si>
  <si>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</si>
  <si>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</si>
  <si>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</si>
  <si>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</si>
  <si>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</si>
  <si>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</si>
  <si>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</si>
  <si>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</si>
  <si>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Aug</t>
  </si>
  <si>
    <t>Sep</t>
  </si>
  <si>
    <t>FilenamePortion</t>
  </si>
  <si>
    <t>JuryMgmt</t>
  </si>
  <si>
    <t>D_B_JuryMgmtRevExp</t>
  </si>
  <si>
    <t>Estimate</t>
  </si>
  <si>
    <t>Expenditure</t>
  </si>
  <si>
    <t>Personnel</t>
  </si>
  <si>
    <t>ALL</t>
  </si>
  <si>
    <t>Operational</t>
  </si>
  <si>
    <t>Other</t>
  </si>
  <si>
    <t>Petit 15</t>
  </si>
  <si>
    <t>Petit 30</t>
  </si>
  <si>
    <t>Petit Other</t>
  </si>
  <si>
    <t>Grand 15</t>
  </si>
  <si>
    <t>Grand 30</t>
  </si>
  <si>
    <t>Grand Other</t>
  </si>
  <si>
    <t>Meals Breakfast</t>
  </si>
  <si>
    <t>Meals Lunch</t>
  </si>
  <si>
    <t>Meals Dinner</t>
  </si>
  <si>
    <t>Meals Other</t>
  </si>
  <si>
    <t>Total Estimated Juror Cost</t>
  </si>
  <si>
    <t>Actual</t>
  </si>
  <si>
    <t>Balance</t>
  </si>
  <si>
    <t>Unexpended</t>
  </si>
  <si>
    <t>Insufficient</t>
  </si>
  <si>
    <t>Amount</t>
  </si>
  <si>
    <t>Note</t>
  </si>
  <si>
    <t>I</t>
  </si>
  <si>
    <t xml:space="preserve">January - March </t>
  </si>
  <si>
    <t xml:space="preserve">April - June </t>
  </si>
  <si>
    <t>July - September</t>
  </si>
  <si>
    <t>October - December</t>
  </si>
  <si>
    <t>Estimate Qtr For Month</t>
  </si>
  <si>
    <t>Methodology for Jury Estimating Cost - Estimating Tool</t>
  </si>
  <si>
    <t>Revenue</t>
  </si>
  <si>
    <t>DeSoto</t>
  </si>
  <si>
    <t>Requested Jury Disbursement</t>
  </si>
  <si>
    <t xml:space="preserve"> </t>
  </si>
  <si>
    <t xml:space="preserve">Total UNEXPENDED Projected Amount from Previously Provided JAC Distribution:  </t>
  </si>
  <si>
    <t xml:space="preserve">Total INSUFFICIENT Projected Amount from Previously Provided JAC Distribution:  </t>
  </si>
  <si>
    <t>April Actual Expenditures</t>
  </si>
  <si>
    <t>Quarterly Estimates of Clerk Juror Costs</t>
  </si>
  <si>
    <t>Estimates for Quarter</t>
  </si>
  <si>
    <t>County</t>
  </si>
  <si>
    <t>Total</t>
  </si>
  <si>
    <t>Quarter: Apr-May-Jun of SFY17/18</t>
  </si>
  <si>
    <t>Calculate (Over)/Under or Unexpended/Insufficient Amounts from Prior Quarter(s)</t>
  </si>
  <si>
    <t>Version #:</t>
  </si>
  <si>
    <t>Exclude any funding provided by the County when completing this survey (S. 29.008, F.S. required County funding for court-related expenditures)</t>
  </si>
  <si>
    <t xml:space="preserve">Note: "Other Meals" should include the cost of providing juror concessions/beverages.  </t>
  </si>
  <si>
    <r>
      <t>Other</t>
    </r>
    <r>
      <rPr>
        <vertAlign val="superscript"/>
        <sz val="12"/>
        <color theme="1"/>
        <rFont val="Franklin Gothic Book"/>
        <family val="2"/>
        <scheme val="minor"/>
      </rPr>
      <t>2</t>
    </r>
  </si>
  <si>
    <t>Jul - Aug - Sep</t>
  </si>
  <si>
    <t>Oct - Nov - Dec</t>
  </si>
  <si>
    <t>Jan - Feb - Mar</t>
  </si>
  <si>
    <t>Apr - May - Jun</t>
  </si>
  <si>
    <t>SubHeader2</t>
  </si>
  <si>
    <t>SubHeader1</t>
  </si>
  <si>
    <r>
      <t>Quarterly Clerk Jury Management Estimate</t>
    </r>
    <r>
      <rPr>
        <vertAlign val="superscript"/>
        <sz val="16"/>
        <color theme="4"/>
        <rFont val="Franklin Gothic Book"/>
        <family val="2"/>
        <scheme val="minor"/>
      </rPr>
      <t>1</t>
    </r>
  </si>
  <si>
    <t xml:space="preserve"> Form # 1</t>
  </si>
  <si>
    <t xml:space="preserve"> Form # 2</t>
  </si>
  <si>
    <t xml:space="preserve"> Form # 3</t>
  </si>
  <si>
    <t xml:space="preserve"> Form # 4</t>
  </si>
  <si>
    <t>Prior Qtr Heading</t>
  </si>
  <si>
    <t>EstToolText1</t>
  </si>
  <si>
    <t>July Actual Expenditures</t>
  </si>
  <si>
    <t>October Actual Expenditures</t>
  </si>
  <si>
    <t>January Actual Expenditures</t>
  </si>
  <si>
    <t>EstToolText2</t>
  </si>
  <si>
    <t>Quarter: Jul-Aug-Sep of SFY18/19</t>
  </si>
  <si>
    <t>Quarter: Oct-Nov-Dec of SFY18/19</t>
  </si>
  <si>
    <t>Quarter: Jan-Feb-Mar of SFY18/19</t>
  </si>
  <si>
    <t>Second CCOC Adjusted and JAC ENDORSED Estimates
(Rounded and Adjusted)</t>
  </si>
  <si>
    <r>
      <t>Second CCOC Adjusted and JAC ENDORSED Estimates
(Rounded and Adjusted)</t>
    </r>
    <r>
      <rPr>
        <sz val="11"/>
        <color theme="1"/>
        <rFont val="Franklin Gothic Book"/>
        <family val="2"/>
        <scheme val="minor"/>
      </rPr>
      <t/>
    </r>
  </si>
  <si>
    <t>Data for Estimating Tool</t>
  </si>
  <si>
    <t>CountyName</t>
  </si>
  <si>
    <t>JE1.18.2.0</t>
  </si>
  <si>
    <t>RevExpBal</t>
  </si>
  <si>
    <t>RevType</t>
  </si>
  <si>
    <t>RevSubType</t>
  </si>
  <si>
    <t>JAC Disbursement Prior Qtr</t>
  </si>
  <si>
    <t>Previous Qtr Over/Under Adjustment</t>
  </si>
  <si>
    <t>Adjusted JAC Disbursement with Over/Under</t>
  </si>
  <si>
    <t>1st Month Current Qtr Actuals</t>
  </si>
  <si>
    <t>2nd and 3rd Month Current Qtr Estimates</t>
  </si>
  <si>
    <t>Total Current Qtr Estimated Expenditures</t>
  </si>
  <si>
    <t>Additional Info</t>
  </si>
  <si>
    <t>Estimated August + September Actual Expenditures</t>
  </si>
  <si>
    <t>Estimated November + December Actual Expenditures</t>
  </si>
  <si>
    <t>Estimated February + March Actual Expenditures</t>
  </si>
  <si>
    <t>Estimated May + June Actual Expenditures</t>
  </si>
  <si>
    <t>RevenueExpense</t>
  </si>
  <si>
    <t>REType</t>
  </si>
  <si>
    <t>RESubType</t>
  </si>
  <si>
    <t>Average</t>
  </si>
  <si>
    <t>Number to use in comparison</t>
  </si>
  <si>
    <t>Percent for comparison</t>
  </si>
  <si>
    <t>Average or last period</t>
  </si>
  <si>
    <t>Calculated % of Estimate increase/decrease</t>
  </si>
  <si>
    <t>Number Used</t>
  </si>
  <si>
    <t>Jury Estimating Process:</t>
  </si>
  <si>
    <t xml:space="preserve">Estimating Quarter: </t>
  </si>
  <si>
    <t>CCOC Website -Forms page</t>
  </si>
  <si>
    <t>Jul-Aug-Sep</t>
  </si>
  <si>
    <t>Q4 CFY 1516</t>
  </si>
  <si>
    <t>Oct-Nov-Dec</t>
  </si>
  <si>
    <t>Q1 CFY 1617</t>
  </si>
  <si>
    <t>Jan-Feb-Mar</t>
  </si>
  <si>
    <t>Q2 CFY 1617</t>
  </si>
  <si>
    <t>Apr-May-Jun</t>
  </si>
  <si>
    <t>Q3 CFY 1617</t>
  </si>
  <si>
    <t>Q4 CFY 1617</t>
  </si>
  <si>
    <t>Q2 CFY 1718</t>
  </si>
  <si>
    <t>Q3 CFY 1718</t>
  </si>
  <si>
    <t>Q4 CFY 1718</t>
  </si>
  <si>
    <t>Clerk:</t>
  </si>
  <si>
    <t>Peer
Group</t>
  </si>
  <si>
    <t>JAC Funding</t>
  </si>
  <si>
    <t>Actuals</t>
  </si>
  <si>
    <t>(Over)/Under
Expended</t>
  </si>
  <si>
    <t>Grand Total</t>
  </si>
  <si>
    <t>Q1 CFY 1819</t>
  </si>
  <si>
    <t>Cumulative +/- Excess (Over)/Under for Periods calculated by CCOC:</t>
  </si>
  <si>
    <t>Total REQUESTED Jury Management Disbursement Amount calculated by CCOC:</t>
  </si>
  <si>
    <t>Cumulative +/- Excess (Over)/Under Calculation:</t>
  </si>
  <si>
    <t>Adjusted Cumulative +/- Excess (Over)/Under-Expended Amount calculated by Clerk/Staff</t>
  </si>
  <si>
    <t>Adjusted Request Amount calculated by Clerk/Staff:</t>
  </si>
  <si>
    <t>SFY1920-Qtr1</t>
  </si>
  <si>
    <t>SFY1819-Qtr2</t>
  </si>
  <si>
    <t>SFY1819-Qtr3</t>
  </si>
  <si>
    <t>SFY1819-Qtr4</t>
  </si>
  <si>
    <t>Apr-May-Jun 17/18</t>
  </si>
  <si>
    <t>Jul-Aug-Sep 18/19</t>
  </si>
  <si>
    <t>Oct-Nov-Dec 18/19</t>
  </si>
  <si>
    <t>Jan-Feb-Mar 18/19</t>
  </si>
  <si>
    <t>Quarter: Apr-May-Jun of SFY18/19</t>
  </si>
  <si>
    <t>JAC Disbursement from Apr-May-Jun:</t>
  </si>
  <si>
    <t xml:space="preserve"> +/- Excess (Over)/Under for Apr-May-Jun:</t>
  </si>
  <si>
    <t>Period:</t>
  </si>
  <si>
    <t>CFY 1617 Totals</t>
  </si>
  <si>
    <t>Q1 CFY 1718
TRUE-UP</t>
  </si>
  <si>
    <t>CFY 1718 Totals</t>
  </si>
  <si>
    <t>Q2 CFY 1819</t>
  </si>
  <si>
    <t>Q3 CFY 1819</t>
  </si>
  <si>
    <t>CFY 1819 Totals</t>
  </si>
  <si>
    <t>Estimate 
(for Projected Quarter)</t>
  </si>
  <si>
    <t>Request 
(w/Pro-Rata Adjustments)</t>
  </si>
  <si>
    <t>Carry Forward Balance
for Next Quarter
Funding - Actuals</t>
  </si>
  <si>
    <t>Prior Period: Carry Forward Balance
Estimate - Request</t>
  </si>
  <si>
    <t>Pro-Rata +/-
Estimate - Funding</t>
  </si>
  <si>
    <t>TRUE UP</t>
  </si>
  <si>
    <t xml:space="preserve">
Estimate - Actuals</t>
  </si>
  <si>
    <t>Legend</t>
  </si>
  <si>
    <t>Reconciled 
Carry Forward</t>
  </si>
  <si>
    <t>Verified Data</t>
  </si>
  <si>
    <t>Verified 
Calculations</t>
  </si>
  <si>
    <t>Unavailable Data</t>
  </si>
  <si>
    <t>Totals</t>
  </si>
  <si>
    <t>Result</t>
  </si>
  <si>
    <t>Carrying Frwd
Balance</t>
  </si>
  <si>
    <t>(Over)/Under
Expended Amount</t>
  </si>
  <si>
    <t>Actual - Expenditures (Expense to Clerk - Debit JE)</t>
  </si>
  <si>
    <t>Funding
from JAC
(Revenue to Clerk - Credit JE)</t>
  </si>
  <si>
    <t>Estimated Projection
(Clerk - book Deferred Revenue - Credit JE)</t>
  </si>
  <si>
    <t>Months:</t>
  </si>
  <si>
    <t>Qtr</t>
  </si>
  <si>
    <t>CFY</t>
  </si>
  <si>
    <t>Clerk</t>
  </si>
  <si>
    <t>Net</t>
  </si>
  <si>
    <t>Calhoun EC Report 
Reported Amount from First Qtr - was advised by CCOC to put (Over)/Under-Expenditures on EC Report at that time.</t>
  </si>
  <si>
    <t>No Applicable</t>
  </si>
  <si>
    <t>CLERK/STAFF ADJUSTMENT SECTION: To Be Used Only if Clerk/Staff Disagrees with Figures Calculated by CCOC:</t>
  </si>
  <si>
    <t>Apr-May-Jun 18/19</t>
  </si>
  <si>
    <t>Quarter: Jul-Aug-Sep of SFY19/20</t>
  </si>
  <si>
    <t>Less: Actual-Expenditures from Apr-May-Jun:</t>
  </si>
  <si>
    <t>JAC Disbursement from Jul-Aug-Sep:</t>
  </si>
  <si>
    <t>Less: Projected Actual-Expenditures from Jul-Aug-Sep:</t>
  </si>
  <si>
    <t xml:space="preserve">     July Actual-Expenditures</t>
  </si>
  <si>
    <t xml:space="preserve">    Estimated August and September Actual-Expenditures:</t>
  </si>
  <si>
    <t>Averaged Data</t>
  </si>
  <si>
    <t xml:space="preserve"> +/- Excess (Over)/Under for Jul-Aug-Sep:</t>
  </si>
  <si>
    <t>Jul-Aug-Sep Quarter Actual Expenditures Estimate:</t>
  </si>
  <si>
    <t>Apr-May-Jun Quarter JAC Disbursement v Actual Expenditures:</t>
  </si>
  <si>
    <t>Estimating Quarter Oct-Nov-Dec:</t>
  </si>
  <si>
    <t>CF</t>
  </si>
  <si>
    <t>Carry Forward Ending from Jan-Feb-Mar Quarter</t>
  </si>
  <si>
    <t>Carry Forward Ending Jan-Feb-Mar Quarter:</t>
  </si>
  <si>
    <t>Carry Forward from Jan-Feb-Mar Quarter &amp; +/- Excess (Over)/Under Calculation:</t>
  </si>
  <si>
    <t>Budget Authority:</t>
  </si>
  <si>
    <t>Total JAC Disbursement YTD:</t>
  </si>
  <si>
    <t>Q4 CFY 1819</t>
  </si>
  <si>
    <t>Aggregated Totals FROM Beginning Thru Current CFY</t>
  </si>
  <si>
    <t>Q1 CFY 1920</t>
  </si>
  <si>
    <t>Q2 CFY 1920</t>
  </si>
  <si>
    <t>Q3 CFY 1920</t>
  </si>
  <si>
    <t>Q4 CFY 1920</t>
  </si>
  <si>
    <t>CFY 1920 Totals</t>
  </si>
  <si>
    <t>Grand Total:</t>
  </si>
  <si>
    <t>CFY1920 Juror
Budget Authority</t>
  </si>
  <si>
    <t>R:\!CFY1920\1920BudgetInfo\BudgetLetters\1920BudgetLetterData</t>
  </si>
  <si>
    <t>Source Document:</t>
  </si>
  <si>
    <t>Second CCOC Adjusted and JAC ENDORSED Estimates
(Rounded and Adjusted)C</t>
  </si>
  <si>
    <t>SFY-Qtr2 Oct-Dec</t>
  </si>
  <si>
    <t>SFY-Qtr3 Jan-Feb</t>
  </si>
  <si>
    <t>SFY-Qtr4 Apr-Jun</t>
  </si>
  <si>
    <t>Next SFY-Qtr1 Jul-Sep</t>
  </si>
  <si>
    <t>TOTAL JAC  DISBURSEMENT During CFY</t>
  </si>
  <si>
    <t>Difference to be Explained:</t>
  </si>
  <si>
    <t>Formula Check:</t>
  </si>
  <si>
    <t>Outlook Email in "Jury Mgmt Report Gen" folder from Greg Cowan, DTG: Fri 9/13/2019 2:49 PM</t>
  </si>
  <si>
    <t>Actuals (Expenditures) 
Total Costs</t>
  </si>
  <si>
    <t>SFY-Qtr1 Jul-Sep</t>
  </si>
  <si>
    <t>R:\!CFY1920\Jury Mgmt Costs Analysis\SFY1920 JuryMgmtActualExpendituresANDEstimates_DataAggregationMACRO</t>
  </si>
  <si>
    <r>
      <rPr>
        <b/>
        <sz val="11"/>
        <color theme="1"/>
        <rFont val="Franklin Gothic Book"/>
        <family val="2"/>
        <scheme val="minor"/>
      </rPr>
      <t>STATE Fiscal Year</t>
    </r>
    <r>
      <rPr>
        <sz val="11"/>
        <color theme="1"/>
        <rFont val="Franklin Gothic Book"/>
        <family val="2"/>
        <scheme val="minor"/>
      </rPr>
      <t xml:space="preserve"> Actuals (Expenditures) 
Total Costs</t>
    </r>
  </si>
  <si>
    <r>
      <rPr>
        <b/>
        <sz val="11"/>
        <color theme="1"/>
        <rFont val="Franklin Gothic Book"/>
        <family val="2"/>
        <scheme val="minor"/>
      </rPr>
      <t>County Fiscal Year</t>
    </r>
    <r>
      <rPr>
        <sz val="11"/>
        <color theme="1"/>
        <rFont val="Franklin Gothic Book"/>
        <family val="2"/>
        <scheme val="minor"/>
      </rPr>
      <t xml:space="preserve"> Actuals (Expenditures) 
Total Costs</t>
    </r>
  </si>
  <si>
    <t>JAC Disbursement from Oct-Nov-Dec:</t>
  </si>
  <si>
    <t xml:space="preserve"> +/- Excess (Over)/Under for Oct-Nov-Dec:</t>
  </si>
  <si>
    <t>Jan-Feb-Mar Quarter Actual Expenditures Estimate:</t>
  </si>
  <si>
    <t>JAC Disbursement from Jan-Feb-Mar:</t>
  </si>
  <si>
    <t>Less: Projected Actual-Expenditures from Jan-Feb-Mar:</t>
  </si>
  <si>
    <t xml:space="preserve"> +/- Excess (Over)/Under for Jan-Feb-Mar:</t>
  </si>
  <si>
    <t>Oct-Nov-Dec Quarter JAC Disbursement v Actual Expenditures:</t>
  </si>
  <si>
    <t>Less: Actual-Expenditures from Oct-Nov-Dec:</t>
  </si>
  <si>
    <t xml:space="preserve">     January Actual-Expenditures</t>
  </si>
  <si>
    <t xml:space="preserve">    Estimated February and March Actual-Expenditures:</t>
  </si>
  <si>
    <t>CCOC Form Version 1
Created 02/07/2020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</si>
</sst>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.00_);_(&quot;$&quot;* \(#,##0.00\)"/>
    <numFmt numFmtId="165" formatCode="[$-409]mmmm\ d\,\ yyyy;@"/>
    <numFmt numFmtId="166" formatCode="0.0"/>
    <numFmt numFmtId="167" formatCode="&quot;$&quot;#,##0.00"/>
  </numFmts>
  <fonts count="49" x14ac:knownFonts="1">
    <font>
      <sz val="11"/>
      <color theme="1"/>
      <name val="Franklin Gothic Book"/>
      <family val="2"/>
      <scheme val="minor"/>
    </font>
    <font>
      <b/>
      <sz val="16"/>
      <color theme="1"/>
      <name val="Franklin Gothic Book"/>
      <family val="2"/>
      <scheme val="minor"/>
    </font>
    <font>
      <sz val="16"/>
      <color theme="1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sz val="14"/>
      <color theme="1"/>
      <name val="Franklin Gothic Book"/>
      <family val="2"/>
      <scheme val="minor"/>
    </font>
    <font>
      <sz val="10"/>
      <name val="Arial"/>
      <family val="2"/>
    </font>
    <font>
      <sz val="11"/>
      <color rgb="FFFF0000"/>
      <name val="Franklin Gothic Book"/>
      <family val="2"/>
      <scheme val="minor"/>
    </font>
    <font>
      <b/>
      <u/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name val="Franklin Gothic Book"/>
      <family val="2"/>
      <scheme val="minor"/>
    </font>
    <font>
      <sz val="11"/>
      <name val="Franklin Gothic Demi"/>
      <family val="2"/>
      <scheme val="maj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8"/>
      <color theme="1"/>
      <name val="Franklin Gothic Demi"/>
      <family val="2"/>
      <scheme val="major"/>
    </font>
    <font>
      <sz val="12"/>
      <color theme="1"/>
      <name val="Franklin Gothic Demi"/>
      <family val="2"/>
      <scheme val="major"/>
    </font>
    <font>
      <sz val="14"/>
      <color theme="1"/>
      <name val="Franklin Gothic Demi"/>
      <family val="2"/>
      <scheme val="major"/>
    </font>
    <font>
      <sz val="10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10"/>
      <color theme="0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b/>
      <sz val="11"/>
      <color theme="1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18"/>
      <color theme="4"/>
      <name val="Franklin Gothic Demi"/>
      <family val="2"/>
      <scheme val="major"/>
    </font>
    <font>
      <sz val="16"/>
      <color theme="4"/>
      <name val="Franklin Gothic Demi"/>
      <family val="2"/>
      <scheme val="major"/>
    </font>
    <font>
      <sz val="12"/>
      <color theme="4"/>
      <name val="Franklin Gothic Demi"/>
      <family val="2"/>
      <scheme val="major"/>
    </font>
    <font>
      <vertAlign val="superscript"/>
      <sz val="11"/>
      <color theme="1"/>
      <name val="Franklin Gothic Book"/>
      <family val="2"/>
      <scheme val="minor"/>
    </font>
    <font>
      <vertAlign val="superscript"/>
      <sz val="12"/>
      <color theme="1"/>
      <name val="Franklin Gothic Book"/>
      <family val="2"/>
      <scheme val="minor"/>
    </font>
    <font>
      <vertAlign val="superscript"/>
      <sz val="16"/>
      <color theme="4"/>
      <name val="Franklin Gothic Book"/>
      <family val="2"/>
      <scheme val="minor"/>
    </font>
    <font>
      <sz val="11"/>
      <color theme="0"/>
      <name val="Franklin Gothic Demi"/>
      <family val="2"/>
      <scheme val="major"/>
    </font>
    <font>
      <b/>
      <sz val="11"/>
      <color theme="0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1"/>
      <color theme="4"/>
      <name val="Franklin Gothic Demi"/>
      <family val="2"/>
      <scheme val="major"/>
    </font>
    <font>
      <sz val="11"/>
      <color theme="3"/>
      <name val="Franklin Gothic Book"/>
      <family val="2"/>
      <scheme val="minor"/>
    </font>
    <font>
      <b/>
      <sz val="12"/>
      <color theme="1"/>
      <name val="Franklin Gothic Demi"/>
      <family val="2"/>
      <scheme val="major"/>
    </font>
    <font>
      <i/>
      <sz val="10"/>
      <color rgb="FFFF0000"/>
      <name val="Franklin Gothic Book"/>
      <family val="2"/>
      <scheme val="minor"/>
    </font>
    <font>
      <b/>
      <u/>
      <sz val="12"/>
      <color theme="10"/>
      <name val="Franklin Gothic Book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rgb="FFFF0000"/>
      <name val="Franklin Gothic Book"/>
      <family val="2"/>
      <scheme val="minor"/>
    </font>
    <font>
      <sz val="11"/>
      <color rgb="FFFF0000"/>
      <name val="Franklin Gothic Demi"/>
      <family val="2"/>
      <scheme val="major"/>
    </font>
    <font>
      <sz val="9"/>
      <color indexed="81"/>
      <name val="Franklin Gothic Book"/>
      <family val="2"/>
      <scheme val="minor"/>
    </font>
    <font>
      <b/>
      <sz val="9"/>
      <color indexed="81"/>
      <name val="Franklin Gothic Demi"/>
      <family val="2"/>
      <scheme val="major"/>
    </font>
    <font>
      <b/>
      <sz val="9"/>
      <color indexed="81"/>
      <name val="Franklin Gothic Book"/>
      <family val="2"/>
      <scheme val="minor"/>
    </font>
    <font>
      <b/>
      <u/>
      <sz val="9"/>
      <color indexed="81"/>
      <name val="Franklin Gothic Book"/>
      <family val="2"/>
      <scheme val="minor"/>
    </font>
    <font>
      <i/>
      <sz val="9"/>
      <color indexed="81"/>
      <name val="Franklin Gothic Book"/>
      <family val="2"/>
      <scheme val="minor"/>
    </font>
    <font>
      <b/>
      <sz val="16"/>
      <color theme="0"/>
      <name val="Franklin Gothic Book"/>
      <family val="2"/>
      <scheme val="minor"/>
    </font>
    <font>
      <b/>
      <sz val="10"/>
      <name val="Franklin Gothic Book"/>
      <family val="2"/>
      <scheme val="minor"/>
    </font>
    <font>
      <sz val="9"/>
      <color theme="1"/>
      <name val="Franklin Gothic Book"/>
      <family val="2"/>
      <scheme val="minor"/>
    </font>
    <font>
      <sz val="12"/>
      <name val="Franklin Gothic Book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29CA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1" tint="0.2499465926084170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ck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</borders>
  <cellStyleXfs count="8">
    <xf numFmtId="0" fontId="0" fillId="0" borderId="0"/>
    <xf numFmtId="0" fontId="5" fillId="0" borderId="0"/>
    <xf numFmtId="44" fontId="8" fillId="0" borderId="0" applyFont="0" applyFill="0" applyBorder="0" applyAlignment="0" applyProtection="0"/>
    <xf numFmtId="0" fontId="9" fillId="3" borderId="1">
      <alignment horizontal="center" vertical="center"/>
      <protection locked="0"/>
    </xf>
    <xf numFmtId="0" fontId="9" fillId="4" borderId="1">
      <alignment horizontal="center" vertical="center"/>
      <protection locked="0"/>
    </xf>
    <xf numFmtId="0" fontId="5" fillId="0" borderId="0"/>
    <xf numFmtId="0" fontId="21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394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horizontal="centerContinuous" vertical="center"/>
    </xf>
    <xf numFmtId="0" fontId="2" fillId="0" borderId="0" xfId="0" applyFont="1" applyProtection="1"/>
    <xf numFmtId="0" fontId="2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Protection="1"/>
    <xf numFmtId="0" fontId="3" fillId="0" borderId="0" xfId="0" applyFont="1" applyAlignment="1" applyProtection="1">
      <alignment horizontal="centerContinuous" vertical="center"/>
    </xf>
    <xf numFmtId="0" fontId="3" fillId="0" borderId="0" xfId="0" applyFont="1" applyProtection="1"/>
    <xf numFmtId="7" fontId="2" fillId="0" borderId="0" xfId="0" applyNumberFormat="1" applyFont="1" applyAlignment="1" applyProtection="1">
      <alignment horizontal="right"/>
    </xf>
    <xf numFmtId="44" fontId="2" fillId="0" borderId="0" xfId="0" applyNumberFormat="1" applyFont="1" applyProtection="1"/>
    <xf numFmtId="0" fontId="9" fillId="0" borderId="0" xfId="0" applyFont="1" applyAlignment="1" applyProtection="1">
      <alignment vertical="top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9" fillId="3" borderId="1" xfId="3" applyAlignment="1" applyProtection="1">
      <alignment horizontal="center" vertical="center"/>
      <protection locked="0"/>
    </xf>
    <xf numFmtId="0" fontId="16" fillId="0" borderId="0" xfId="0" applyFont="1" applyProtection="1"/>
    <xf numFmtId="0" fontId="17" fillId="0" borderId="0" xfId="0" applyFont="1" applyProtection="1"/>
    <xf numFmtId="0" fontId="15" fillId="0" borderId="0" xfId="0" applyFont="1" applyAlignment="1" applyProtection="1">
      <alignment horizontal="left" vertical="center"/>
    </xf>
    <xf numFmtId="164" fontId="17" fillId="0" borderId="0" xfId="2" applyNumberFormat="1" applyFont="1" applyProtection="1"/>
    <xf numFmtId="0" fontId="15" fillId="0" borderId="0" xfId="0" applyFont="1" applyAlignment="1" applyProtection="1">
      <alignment horizontal="right"/>
    </xf>
    <xf numFmtId="0" fontId="0" fillId="0" borderId="0" xfId="0" applyAlignment="1" applyProtection="1">
      <alignment vertical="center"/>
    </xf>
    <xf numFmtId="0" fontId="14" fillId="0" borderId="0" xfId="0" applyFont="1" applyBorder="1" applyAlignment="1" applyProtection="1">
      <alignment wrapText="1"/>
    </xf>
    <xf numFmtId="44" fontId="0" fillId="3" borderId="2" xfId="0" applyNumberFormat="1" applyFont="1" applyFill="1" applyBorder="1" applyProtection="1">
      <protection locked="0"/>
    </xf>
    <xf numFmtId="44" fontId="0" fillId="4" borderId="2" xfId="0" applyNumberFormat="1" applyFont="1" applyFill="1" applyBorder="1" applyProtection="1">
      <protection locked="0"/>
    </xf>
    <xf numFmtId="44" fontId="14" fillId="2" borderId="3" xfId="0" applyNumberFormat="1" applyFont="1" applyFill="1" applyBorder="1" applyProtection="1"/>
    <xf numFmtId="44" fontId="15" fillId="2" borderId="3" xfId="0" applyNumberFormat="1" applyFont="1" applyFill="1" applyBorder="1" applyProtection="1"/>
    <xf numFmtId="44" fontId="15" fillId="8" borderId="6" xfId="0" applyNumberFormat="1" applyFont="1" applyFill="1" applyBorder="1" applyProtection="1"/>
    <xf numFmtId="0" fontId="0" fillId="0" borderId="0" xfId="0" applyAlignment="1" applyProtection="1">
      <alignment horizontal="left"/>
    </xf>
    <xf numFmtId="0" fontId="16" fillId="0" borderId="0" xfId="0" applyFont="1" applyAlignment="1" applyProtection="1">
      <alignment horizontal="left" vertical="center"/>
    </xf>
    <xf numFmtId="0" fontId="12" fillId="5" borderId="0" xfId="5" applyFont="1" applyFill="1" applyAlignment="1" applyProtection="1">
      <alignment wrapText="1"/>
    </xf>
    <xf numFmtId="0" fontId="11" fillId="0" borderId="0" xfId="5" applyFont="1" applyProtection="1"/>
    <xf numFmtId="0" fontId="12" fillId="5" borderId="7" xfId="5" applyFont="1" applyFill="1" applyBorder="1" applyProtection="1"/>
    <xf numFmtId="0" fontId="12" fillId="5" borderId="8" xfId="5" applyFont="1" applyFill="1" applyBorder="1" applyProtection="1"/>
    <xf numFmtId="0" fontId="12" fillId="5" borderId="9" xfId="5" applyFont="1" applyFill="1" applyBorder="1" applyProtection="1"/>
    <xf numFmtId="0" fontId="11" fillId="0" borderId="10" xfId="5" applyFont="1" applyBorder="1" applyProtection="1"/>
    <xf numFmtId="0" fontId="11" fillId="0" borderId="0" xfId="5" applyFont="1" applyBorder="1" applyProtection="1"/>
    <xf numFmtId="0" fontId="11" fillId="0" borderId="4" xfId="5" applyFont="1" applyBorder="1" applyProtection="1"/>
    <xf numFmtId="0" fontId="12" fillId="5" borderId="0" xfId="5" applyFont="1" applyFill="1" applyProtection="1"/>
    <xf numFmtId="14" fontId="11" fillId="7" borderId="0" xfId="5" applyNumberFormat="1" applyFont="1" applyFill="1" applyProtection="1">
      <protection locked="0"/>
    </xf>
    <xf numFmtId="0" fontId="11" fillId="7" borderId="0" xfId="5" applyFont="1" applyFill="1" applyProtection="1">
      <protection locked="0"/>
    </xf>
    <xf numFmtId="14" fontId="11" fillId="0" borderId="0" xfId="5" applyNumberFormat="1" applyFont="1" applyProtection="1"/>
    <xf numFmtId="0" fontId="11" fillId="0" borderId="11" xfId="5" applyFont="1" applyBorder="1" applyProtection="1"/>
    <xf numFmtId="0" fontId="11" fillId="0" borderId="12" xfId="5" applyFont="1" applyBorder="1" applyProtection="1"/>
    <xf numFmtId="0" fontId="11" fillId="0" borderId="13" xfId="5" applyFont="1" applyBorder="1" applyProtection="1"/>
    <xf numFmtId="1" fontId="11" fillId="0" borderId="0" xfId="5" applyNumberFormat="1" applyFont="1" applyProtection="1"/>
    <xf numFmtId="0" fontId="11" fillId="0" borderId="0" xfId="5" applyNumberFormat="1" applyFont="1" applyProtection="1"/>
    <xf numFmtId="0" fontId="0" fillId="0" borderId="0" xfId="0" applyBorder="1" applyAlignment="1" applyProtection="1">
      <alignment horizontal="right"/>
    </xf>
    <xf numFmtId="0" fontId="0" fillId="0" borderId="0" xfId="0" applyBorder="1" applyProtection="1"/>
    <xf numFmtId="0" fontId="14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44" fontId="11" fillId="0" borderId="0" xfId="5" applyNumberFormat="1" applyFont="1" applyProtection="1"/>
    <xf numFmtId="44" fontId="11" fillId="0" borderId="0" xfId="2" applyFont="1" applyProtection="1"/>
    <xf numFmtId="0" fontId="9" fillId="9" borderId="1" xfId="3" applyFill="1" applyAlignment="1" applyProtection="1">
      <alignment horizontal="center" vertical="center"/>
    </xf>
    <xf numFmtId="0" fontId="17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44" fontId="0" fillId="8" borderId="2" xfId="0" applyNumberFormat="1" applyFont="1" applyFill="1" applyBorder="1" applyProtection="1"/>
    <xf numFmtId="0" fontId="0" fillId="0" borderId="0" xfId="0" applyFill="1"/>
    <xf numFmtId="0" fontId="0" fillId="0" borderId="0" xfId="0" applyFont="1" applyFill="1" applyBorder="1"/>
    <xf numFmtId="165" fontId="0" fillId="0" borderId="0" xfId="0" applyNumberFormat="1" applyFill="1"/>
    <xf numFmtId="166" fontId="0" fillId="0" borderId="0" xfId="0" applyNumberFormat="1" applyFill="1"/>
    <xf numFmtId="44" fontId="0" fillId="0" borderId="0" xfId="2" applyFont="1" applyFill="1"/>
    <xf numFmtId="0" fontId="0" fillId="0" borderId="0" xfId="0" applyFill="1" applyProtection="1"/>
    <xf numFmtId="0" fontId="9" fillId="0" borderId="0" xfId="0" applyFont="1" applyFill="1" applyAlignment="1" applyProtection="1">
      <alignment vertical="top"/>
    </xf>
    <xf numFmtId="0" fontId="9" fillId="0" borderId="0" xfId="0" applyFont="1" applyFill="1" applyAlignment="1" applyProtection="1">
      <alignment vertical="center"/>
    </xf>
    <xf numFmtId="0" fontId="22" fillId="0" borderId="0" xfId="0" applyFont="1" applyFill="1" applyAlignment="1" applyProtection="1">
      <alignment vertical="center"/>
    </xf>
    <xf numFmtId="0" fontId="24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23" fillId="0" borderId="0" xfId="0" applyFont="1" applyFill="1" applyAlignment="1" applyProtection="1">
      <alignment vertical="center"/>
    </xf>
    <xf numFmtId="0" fontId="6" fillId="0" borderId="0" xfId="0" applyFont="1" applyAlignment="1" applyProtection="1">
      <alignment horizontal="right"/>
    </xf>
    <xf numFmtId="0" fontId="22" fillId="0" borderId="0" xfId="0" applyFont="1" applyFill="1" applyAlignment="1" applyProtection="1">
      <alignment horizontal="left" vertical="center"/>
    </xf>
    <xf numFmtId="0" fontId="23" fillId="0" borderId="0" xfId="0" applyFont="1" applyFill="1" applyAlignment="1" applyProtection="1">
      <alignment horizontal="left" vertical="center"/>
    </xf>
    <xf numFmtId="0" fontId="25" fillId="0" borderId="0" xfId="0" applyFont="1" applyAlignment="1" applyProtection="1">
      <alignment vertical="top"/>
    </xf>
    <xf numFmtId="0" fontId="20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/>
    <xf numFmtId="0" fontId="20" fillId="0" borderId="17" xfId="0" applyFont="1" applyFill="1" applyBorder="1" applyAlignment="1" applyProtection="1">
      <alignment horizontal="center" wrapText="1"/>
    </xf>
    <xf numFmtId="0" fontId="19" fillId="0" borderId="18" xfId="0" applyFont="1" applyFill="1" applyBorder="1" applyAlignment="1" applyProtection="1">
      <alignment vertical="center" wrapText="1"/>
    </xf>
    <xf numFmtId="0" fontId="28" fillId="12" borderId="16" xfId="0" applyFont="1" applyFill="1" applyBorder="1" applyAlignment="1" applyProtection="1">
      <alignment horizontal="center" vertical="center"/>
    </xf>
    <xf numFmtId="0" fontId="20" fillId="0" borderId="19" xfId="0" applyFont="1" applyFill="1" applyBorder="1" applyAlignment="1" applyProtection="1">
      <alignment vertical="center"/>
    </xf>
    <xf numFmtId="0" fontId="19" fillId="0" borderId="14" xfId="0" applyFont="1" applyFill="1" applyBorder="1" applyAlignment="1" applyProtection="1">
      <alignment wrapText="1"/>
    </xf>
    <xf numFmtId="0" fontId="28" fillId="12" borderId="15" xfId="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Protection="1"/>
    <xf numFmtId="44" fontId="0" fillId="0" borderId="14" xfId="0" applyNumberFormat="1" applyFill="1" applyBorder="1" applyProtection="1"/>
    <xf numFmtId="44" fontId="0" fillId="13" borderId="15" xfId="2" applyFont="1" applyFill="1" applyBorder="1" applyProtection="1"/>
    <xf numFmtId="0" fontId="0" fillId="0" borderId="22" xfId="0" applyFont="1" applyFill="1" applyBorder="1" applyProtection="1"/>
    <xf numFmtId="44" fontId="0" fillId="0" borderId="23" xfId="0" applyNumberFormat="1" applyFill="1" applyBorder="1" applyProtection="1"/>
    <xf numFmtId="0" fontId="20" fillId="9" borderId="20" xfId="0" applyFont="1" applyFill="1" applyBorder="1" applyProtection="1"/>
    <xf numFmtId="44" fontId="20" fillId="11" borderId="21" xfId="0" applyNumberFormat="1" applyFont="1" applyFill="1" applyBorder="1" applyProtection="1"/>
    <xf numFmtId="44" fontId="0" fillId="4" borderId="14" xfId="2" applyFont="1" applyFill="1" applyBorder="1" applyProtection="1">
      <protection locked="0"/>
    </xf>
    <xf numFmtId="44" fontId="0" fillId="4" borderId="23" xfId="2" applyFont="1" applyFill="1" applyBorder="1" applyProtection="1">
      <protection locked="0"/>
    </xf>
    <xf numFmtId="44" fontId="0" fillId="13" borderId="24" xfId="2" applyFont="1" applyFill="1" applyBorder="1" applyProtection="1"/>
    <xf numFmtId="0" fontId="9" fillId="0" borderId="0" xfId="0" applyFont="1" applyProtection="1"/>
    <xf numFmtId="0" fontId="9" fillId="0" borderId="0" xfId="0" applyFont="1"/>
    <xf numFmtId="0" fontId="30" fillId="0" borderId="25" xfId="0" applyFont="1" applyFill="1" applyBorder="1" applyAlignment="1" applyProtection="1">
      <alignment horizontal="center" vertical="center" textRotation="90"/>
    </xf>
    <xf numFmtId="0" fontId="12" fillId="12" borderId="0" xfId="5" applyFont="1" applyFill="1" applyAlignment="1" applyProtection="1">
      <alignment wrapText="1"/>
    </xf>
    <xf numFmtId="0" fontId="12" fillId="6" borderId="0" xfId="5" applyFont="1" applyFill="1" applyAlignment="1" applyProtection="1">
      <alignment horizontal="center" wrapText="1"/>
    </xf>
    <xf numFmtId="0" fontId="0" fillId="0" borderId="0" xfId="0"/>
    <xf numFmtId="44" fontId="0" fillId="0" borderId="0" xfId="2" applyFont="1"/>
    <xf numFmtId="0" fontId="12" fillId="5" borderId="0" xfId="5" applyFont="1" applyFill="1" applyAlignment="1" applyProtection="1">
      <alignment wrapText="1"/>
    </xf>
    <xf numFmtId="0" fontId="0" fillId="0" borderId="0" xfId="0" applyAlignment="1">
      <alignment wrapText="1"/>
    </xf>
    <xf numFmtId="0" fontId="0" fillId="3" borderId="0" xfId="0" applyFill="1" applyProtection="1">
      <protection locked="0"/>
    </xf>
    <xf numFmtId="9" fontId="0" fillId="3" borderId="0" xfId="7" applyFont="1" applyFill="1" applyProtection="1">
      <protection locked="0"/>
    </xf>
    <xf numFmtId="9" fontId="0" fillId="9" borderId="0" xfId="7" applyFont="1" applyFill="1"/>
    <xf numFmtId="0" fontId="30" fillId="0" borderId="0" xfId="0" applyFont="1" applyBorder="1" applyAlignment="1" applyProtection="1">
      <alignment vertical="center"/>
    </xf>
    <xf numFmtId="44" fontId="17" fillId="3" borderId="14" xfId="2" applyFont="1" applyFill="1" applyBorder="1" applyProtection="1">
      <protection locked="0"/>
    </xf>
    <xf numFmtId="44" fontId="17" fillId="2" borderId="0" xfId="2" applyFont="1" applyFill="1" applyProtection="1"/>
    <xf numFmtId="0" fontId="30" fillId="0" borderId="0" xfId="0" applyFont="1" applyAlignment="1" applyProtection="1">
      <alignment vertical="center"/>
    </xf>
    <xf numFmtId="44" fontId="17" fillId="3" borderId="28" xfId="2" applyFont="1" applyFill="1" applyBorder="1" applyProtection="1">
      <protection locked="0"/>
    </xf>
    <xf numFmtId="44" fontId="17" fillId="8" borderId="14" xfId="2" applyFont="1" applyFill="1" applyBorder="1" applyProtection="1"/>
    <xf numFmtId="44" fontId="17" fillId="8" borderId="23" xfId="2" applyFont="1" applyFill="1" applyBorder="1" applyProtection="1"/>
    <xf numFmtId="0" fontId="20" fillId="0" borderId="0" xfId="0" applyFont="1"/>
    <xf numFmtId="0" fontId="14" fillId="10" borderId="0" xfId="0" applyFont="1" applyFill="1" applyAlignment="1" applyProtection="1">
      <alignment vertical="center"/>
    </xf>
    <xf numFmtId="0" fontId="35" fillId="0" borderId="0" xfId="6" applyFont="1" applyAlignment="1" applyProtection="1">
      <alignment horizontal="center"/>
    </xf>
    <xf numFmtId="44" fontId="0" fillId="0" borderId="0" xfId="0" applyNumberFormat="1"/>
    <xf numFmtId="0" fontId="0" fillId="0" borderId="0" xfId="0" applyAlignment="1">
      <alignment horizontal="center"/>
    </xf>
    <xf numFmtId="0" fontId="20" fillId="0" borderId="0" xfId="0" applyFont="1" applyAlignment="1">
      <alignment horizontal="center" wrapText="1"/>
    </xf>
    <xf numFmtId="44" fontId="20" fillId="0" borderId="0" xfId="0" applyNumberFormat="1" applyFont="1"/>
    <xf numFmtId="0" fontId="34" fillId="0" borderId="0" xfId="0" applyFont="1" applyFill="1" applyBorder="1" applyAlignment="1" applyProtection="1">
      <alignment horizontal="right" vertical="top"/>
    </xf>
    <xf numFmtId="0" fontId="38" fillId="0" borderId="0" xfId="0" applyFont="1" applyFill="1" applyBorder="1" applyAlignment="1" applyProtection="1">
      <alignment horizontal="right" vertical="top"/>
    </xf>
    <xf numFmtId="0" fontId="14" fillId="0" borderId="0" xfId="0" applyFont="1" applyBorder="1" applyAlignment="1" applyProtection="1">
      <alignment horizontal="right" vertical="center"/>
    </xf>
    <xf numFmtId="0" fontId="14" fillId="14" borderId="10" xfId="0" applyFont="1" applyFill="1" applyBorder="1" applyAlignment="1" applyProtection="1">
      <alignment horizontal="right" vertical="center"/>
    </xf>
    <xf numFmtId="0" fontId="0" fillId="14" borderId="0" xfId="0" applyFill="1" applyBorder="1" applyProtection="1"/>
    <xf numFmtId="0" fontId="14" fillId="14" borderId="0" xfId="0" applyFont="1" applyFill="1" applyBorder="1" applyAlignment="1" applyProtection="1">
      <alignment horizontal="right" vertical="center"/>
    </xf>
    <xf numFmtId="44" fontId="17" fillId="14" borderId="32" xfId="2" applyFont="1" applyFill="1" applyBorder="1" applyProtection="1"/>
    <xf numFmtId="44" fontId="17" fillId="8" borderId="16" xfId="2" applyFont="1" applyFill="1" applyBorder="1" applyProtection="1"/>
    <xf numFmtId="44" fontId="17" fillId="3" borderId="15" xfId="2" applyFont="1" applyFill="1" applyBorder="1" applyProtection="1">
      <protection locked="0"/>
    </xf>
    <xf numFmtId="0" fontId="38" fillId="0" borderId="15" xfId="0" applyFont="1" applyFill="1" applyBorder="1" applyAlignment="1" applyProtection="1">
      <alignment horizontal="right" vertical="top"/>
    </xf>
    <xf numFmtId="0" fontId="14" fillId="14" borderId="31" xfId="0" applyFont="1" applyFill="1" applyBorder="1" applyAlignment="1" applyProtection="1">
      <alignment horizontal="right" vertical="center"/>
    </xf>
    <xf numFmtId="0" fontId="0" fillId="14" borderId="29" xfId="0" applyFill="1" applyBorder="1" applyProtection="1"/>
    <xf numFmtId="0" fontId="14" fillId="14" borderId="29" xfId="0" applyFont="1" applyFill="1" applyBorder="1" applyAlignment="1" applyProtection="1">
      <alignment horizontal="right" vertical="center"/>
    </xf>
    <xf numFmtId="0" fontId="39" fillId="14" borderId="17" xfId="0" applyFont="1" applyFill="1" applyBorder="1" applyAlignment="1" applyProtection="1">
      <alignment horizontal="left" vertical="center"/>
    </xf>
    <xf numFmtId="0" fontId="39" fillId="14" borderId="18" xfId="0" applyFont="1" applyFill="1" applyBorder="1" applyAlignment="1" applyProtection="1">
      <alignment horizontal="left" vertical="center"/>
    </xf>
    <xf numFmtId="0" fontId="39" fillId="14" borderId="33" xfId="0" applyFont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44" fontId="0" fillId="0" borderId="0" xfId="0" applyNumberFormat="1" applyFill="1"/>
    <xf numFmtId="44" fontId="0" fillId="4" borderId="28" xfId="2" applyFont="1" applyFill="1" applyBorder="1" applyProtection="1">
      <protection locked="0"/>
    </xf>
    <xf numFmtId="44" fontId="0" fillId="4" borderId="34" xfId="2" applyFont="1" applyFill="1" applyBorder="1" applyProtection="1">
      <protection locked="0"/>
    </xf>
    <xf numFmtId="44" fontId="20" fillId="15" borderId="0" xfId="0" applyNumberFormat="1" applyFont="1" applyFill="1"/>
    <xf numFmtId="44" fontId="0" fillId="0" borderId="35" xfId="0" applyNumberFormat="1" applyBorder="1"/>
    <xf numFmtId="0" fontId="0" fillId="16" borderId="0" xfId="0" applyFill="1" applyAlignment="1">
      <alignment horizontal="center"/>
    </xf>
    <xf numFmtId="0" fontId="0" fillId="16" borderId="0" xfId="0" applyFill="1"/>
    <xf numFmtId="0" fontId="20" fillId="11" borderId="7" xfId="0" applyFont="1" applyFill="1" applyBorder="1" applyAlignment="1">
      <alignment horizontal="center"/>
    </xf>
    <xf numFmtId="0" fontId="20" fillId="17" borderId="7" xfId="0" applyFont="1" applyFill="1" applyBorder="1" applyAlignment="1">
      <alignment horizontal="center"/>
    </xf>
    <xf numFmtId="0" fontId="20" fillId="7" borderId="7" xfId="0" applyFont="1" applyFill="1" applyBorder="1" applyAlignment="1">
      <alignment horizontal="center"/>
    </xf>
    <xf numFmtId="0" fontId="20" fillId="13" borderId="7" xfId="0" applyFont="1" applyFill="1" applyBorder="1" applyAlignment="1">
      <alignment horizontal="center"/>
    </xf>
    <xf numFmtId="0" fontId="20" fillId="11" borderId="10" xfId="0" applyFont="1" applyFill="1" applyBorder="1" applyAlignment="1">
      <alignment horizontal="center" wrapText="1"/>
    </xf>
    <xf numFmtId="0" fontId="20" fillId="11" borderId="0" xfId="0" applyFont="1" applyFill="1" applyBorder="1" applyAlignment="1">
      <alignment horizontal="center" wrapText="1"/>
    </xf>
    <xf numFmtId="0" fontId="20" fillId="11" borderId="0" xfId="0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 wrapText="1"/>
    </xf>
    <xf numFmtId="0" fontId="20" fillId="17" borderId="10" xfId="0" applyFont="1" applyFill="1" applyBorder="1" applyAlignment="1">
      <alignment horizontal="center" wrapText="1"/>
    </xf>
    <xf numFmtId="0" fontId="20" fillId="17" borderId="0" xfId="0" applyFont="1" applyFill="1" applyBorder="1" applyAlignment="1">
      <alignment horizontal="center" wrapText="1"/>
    </xf>
    <xf numFmtId="0" fontId="20" fillId="17" borderId="0" xfId="0" applyFont="1" applyFill="1" applyBorder="1" applyAlignment="1">
      <alignment horizontal="center"/>
    </xf>
    <xf numFmtId="0" fontId="20" fillId="17" borderId="4" xfId="0" applyFont="1" applyFill="1" applyBorder="1" applyAlignment="1">
      <alignment horizontal="center" wrapText="1"/>
    </xf>
    <xf numFmtId="0" fontId="20" fillId="7" borderId="1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0" fontId="20" fillId="7" borderId="4" xfId="0" applyFont="1" applyFill="1" applyBorder="1" applyAlignment="1">
      <alignment horizontal="center" wrapText="1"/>
    </xf>
    <xf numFmtId="0" fontId="20" fillId="13" borderId="10" xfId="0" applyFont="1" applyFill="1" applyBorder="1" applyAlignment="1">
      <alignment horizontal="center" wrapText="1"/>
    </xf>
    <xf numFmtId="0" fontId="20" fillId="13" borderId="0" xfId="0" applyFont="1" applyFill="1" applyBorder="1" applyAlignment="1">
      <alignment horizontal="center" wrapText="1"/>
    </xf>
    <xf numFmtId="0" fontId="20" fillId="13" borderId="0" xfId="0" applyFont="1" applyFill="1" applyBorder="1" applyAlignment="1">
      <alignment horizontal="center"/>
    </xf>
    <xf numFmtId="0" fontId="20" fillId="13" borderId="4" xfId="0" applyFont="1" applyFill="1" applyBorder="1" applyAlignment="1">
      <alignment horizontal="center" wrapText="1"/>
    </xf>
    <xf numFmtId="0" fontId="29" fillId="18" borderId="10" xfId="0" applyFont="1" applyFill="1" applyBorder="1" applyAlignment="1">
      <alignment horizontal="center" wrapText="1"/>
    </xf>
    <xf numFmtId="0" fontId="29" fillId="18" borderId="0" xfId="0" applyFont="1" applyFill="1" applyBorder="1" applyAlignment="1">
      <alignment horizontal="center" wrapText="1"/>
    </xf>
    <xf numFmtId="0" fontId="29" fillId="18" borderId="0" xfId="0" applyFont="1" applyFill="1" applyBorder="1" applyAlignment="1">
      <alignment horizontal="center"/>
    </xf>
    <xf numFmtId="0" fontId="29" fillId="18" borderId="4" xfId="0" applyFont="1" applyFill="1" applyBorder="1" applyAlignment="1">
      <alignment horizontal="center" wrapText="1"/>
    </xf>
    <xf numFmtId="44" fontId="0" fillId="4" borderId="10" xfId="2" applyFont="1" applyFill="1" applyBorder="1" applyAlignment="1">
      <alignment horizontal="center"/>
    </xf>
    <xf numFmtId="44" fontId="0" fillId="4" borderId="0" xfId="2" applyFont="1" applyFill="1" applyBorder="1" applyAlignment="1">
      <alignment horizontal="center"/>
    </xf>
    <xf numFmtId="44" fontId="0" fillId="4" borderId="0" xfId="2" applyFont="1" applyFill="1" applyBorder="1"/>
    <xf numFmtId="44" fontId="0" fillId="4" borderId="4" xfId="0" applyNumberFormat="1" applyFill="1" applyBorder="1"/>
    <xf numFmtId="44" fontId="0" fillId="4" borderId="10" xfId="2" applyFont="1" applyFill="1" applyBorder="1"/>
    <xf numFmtId="44" fontId="0" fillId="4" borderId="0" xfId="0" applyNumberFormat="1" applyFill="1" applyBorder="1"/>
    <xf numFmtId="44" fontId="0" fillId="3" borderId="0" xfId="0" applyNumberFormat="1" applyFill="1" applyBorder="1"/>
    <xf numFmtId="44" fontId="0" fillId="3" borderId="4" xfId="0" applyNumberFormat="1" applyFill="1" applyBorder="1"/>
    <xf numFmtId="44" fontId="8" fillId="4" borderId="0" xfId="2" applyFont="1" applyFill="1" applyBorder="1"/>
    <xf numFmtId="44" fontId="0" fillId="0" borderId="0" xfId="2" applyFont="1" applyFill="1" applyBorder="1"/>
    <xf numFmtId="44" fontId="0" fillId="3" borderId="0" xfId="2" applyFont="1" applyFill="1" applyBorder="1"/>
    <xf numFmtId="44" fontId="0" fillId="3" borderId="4" xfId="2" applyFont="1" applyFill="1" applyBorder="1"/>
    <xf numFmtId="44" fontId="0" fillId="3" borderId="10" xfId="2" applyFont="1" applyFill="1" applyBorder="1"/>
    <xf numFmtId="44" fontId="0" fillId="16" borderId="10" xfId="2" applyFont="1" applyFill="1" applyBorder="1" applyAlignment="1">
      <alignment horizontal="center"/>
    </xf>
    <xf numFmtId="44" fontId="20" fillId="15" borderId="0" xfId="0" applyNumberFormat="1" applyFont="1" applyFill="1" applyBorder="1"/>
    <xf numFmtId="44" fontId="0" fillId="16" borderId="0" xfId="2" applyFont="1" applyFill="1" applyBorder="1"/>
    <xf numFmtId="44" fontId="20" fillId="4" borderId="11" xfId="2" applyFont="1" applyFill="1" applyBorder="1" applyAlignment="1">
      <alignment horizontal="center"/>
    </xf>
    <xf numFmtId="44" fontId="20" fillId="4" borderId="12" xfId="2" applyFont="1" applyFill="1" applyBorder="1" applyAlignment="1">
      <alignment horizontal="center"/>
    </xf>
    <xf numFmtId="44" fontId="20" fillId="4" borderId="12" xfId="0" applyNumberFormat="1" applyFont="1" applyFill="1" applyBorder="1"/>
    <xf numFmtId="44" fontId="20" fillId="4" borderId="13" xfId="0" applyNumberFormat="1" applyFont="1" applyFill="1" applyBorder="1"/>
    <xf numFmtId="44" fontId="20" fillId="4" borderId="11" xfId="0" applyNumberFormat="1" applyFont="1" applyFill="1" applyBorder="1"/>
    <xf numFmtId="44" fontId="20" fillId="3" borderId="12" xfId="0" applyNumberFormat="1" applyFont="1" applyFill="1" applyBorder="1"/>
    <xf numFmtId="44" fontId="20" fillId="3" borderId="13" xfId="0" applyNumberFormat="1" applyFont="1" applyFill="1" applyBorder="1"/>
    <xf numFmtId="44" fontId="0" fillId="4" borderId="12" xfId="2" applyFont="1" applyFill="1" applyBorder="1"/>
    <xf numFmtId="44" fontId="20" fillId="0" borderId="12" xfId="0" applyNumberFormat="1" applyFont="1" applyFill="1" applyBorder="1"/>
    <xf numFmtId="44" fontId="0" fillId="0" borderId="12" xfId="2" applyFont="1" applyFill="1" applyBorder="1"/>
    <xf numFmtId="44" fontId="20" fillId="3" borderId="13" xfId="2" applyFont="1" applyFill="1" applyBorder="1"/>
    <xf numFmtId="44" fontId="20" fillId="3" borderId="11" xfId="2" applyFont="1" applyFill="1" applyBorder="1"/>
    <xf numFmtId="44" fontId="20" fillId="3" borderId="12" xfId="2" applyFont="1" applyFill="1" applyBorder="1"/>
    <xf numFmtId="44" fontId="0" fillId="0" borderId="0" xfId="0" applyNumberFormat="1" applyAlignment="1">
      <alignment wrapText="1"/>
    </xf>
    <xf numFmtId="0" fontId="0" fillId="0" borderId="0" xfId="0" applyFont="1"/>
    <xf numFmtId="0" fontId="0" fillId="4" borderId="10" xfId="0" applyFill="1" applyBorder="1" applyAlignment="1">
      <alignment horizontal="center"/>
    </xf>
    <xf numFmtId="0" fontId="16" fillId="0" borderId="4" xfId="0" applyFont="1" applyBorder="1"/>
    <xf numFmtId="0" fontId="0" fillId="19" borderId="10" xfId="0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3" xfId="0" applyBorder="1"/>
    <xf numFmtId="0" fontId="0" fillId="0" borderId="0" xfId="0" applyFont="1" applyAlignment="1">
      <alignment horizontal="center"/>
    </xf>
    <xf numFmtId="0" fontId="0" fillId="20" borderId="10" xfId="0" applyFont="1" applyFill="1" applyBorder="1" applyAlignment="1">
      <alignment horizontal="center"/>
    </xf>
    <xf numFmtId="44" fontId="0" fillId="0" borderId="0" xfId="2" applyFont="1" applyBorder="1" applyAlignment="1">
      <alignment horizontal="center"/>
    </xf>
    <xf numFmtId="44" fontId="0" fillId="0" borderId="36" xfId="2" applyFont="1" applyBorder="1" applyAlignment="1">
      <alignment horizontal="center"/>
    </xf>
    <xf numFmtId="44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44" fontId="0" fillId="0" borderId="0" xfId="2" applyFont="1" applyFill="1" applyAlignment="1">
      <alignment horizontal="center"/>
    </xf>
    <xf numFmtId="44" fontId="0" fillId="0" borderId="0" xfId="2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20" fillId="0" borderId="27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44" fontId="6" fillId="7" borderId="4" xfId="0" applyNumberFormat="1" applyFont="1" applyFill="1" applyBorder="1"/>
    <xf numFmtId="0" fontId="0" fillId="7" borderId="0" xfId="0" applyFill="1" applyAlignment="1">
      <alignment wrapText="1"/>
    </xf>
    <xf numFmtId="44" fontId="0" fillId="7" borderId="0" xfId="0" applyNumberFormat="1" applyFill="1"/>
    <xf numFmtId="0" fontId="0" fillId="7" borderId="0" xfId="0" applyFill="1"/>
    <xf numFmtId="0" fontId="20" fillId="13" borderId="8" xfId="0" applyFont="1" applyFill="1" applyBorder="1" applyAlignment="1">
      <alignment horizontal="center"/>
    </xf>
    <xf numFmtId="0" fontId="20" fillId="17" borderId="8" xfId="0" applyFont="1" applyFill="1" applyBorder="1" applyAlignment="1">
      <alignment horizontal="center"/>
    </xf>
    <xf numFmtId="0" fontId="20" fillId="7" borderId="8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7" borderId="0" xfId="0" applyFill="1" applyAlignment="1">
      <alignment horizontal="center"/>
    </xf>
    <xf numFmtId="44" fontId="0" fillId="7" borderId="10" xfId="2" applyFont="1" applyFill="1" applyBorder="1" applyAlignment="1">
      <alignment horizontal="center"/>
    </xf>
    <xf numFmtId="44" fontId="0" fillId="7" borderId="0" xfId="2" applyFont="1" applyFill="1" applyBorder="1" applyAlignment="1">
      <alignment horizontal="center"/>
    </xf>
    <xf numFmtId="44" fontId="0" fillId="7" borderId="0" xfId="2" applyFont="1" applyFill="1" applyBorder="1"/>
    <xf numFmtId="44" fontId="0" fillId="7" borderId="4" xfId="0" applyNumberFormat="1" applyFill="1" applyBorder="1"/>
    <xf numFmtId="44" fontId="0" fillId="7" borderId="10" xfId="2" applyFont="1" applyFill="1" applyBorder="1"/>
    <xf numFmtId="44" fontId="0" fillId="7" borderId="0" xfId="0" applyNumberFormat="1" applyFill="1" applyBorder="1"/>
    <xf numFmtId="44" fontId="8" fillId="7" borderId="0" xfId="2" applyFont="1" applyFill="1" applyBorder="1"/>
    <xf numFmtId="44" fontId="0" fillId="7" borderId="4" xfId="2" applyFont="1" applyFill="1" applyBorder="1"/>
    <xf numFmtId="44" fontId="0" fillId="21" borderId="36" xfId="2" applyFont="1" applyFill="1" applyBorder="1" applyAlignment="1">
      <alignment horizontal="center"/>
    </xf>
    <xf numFmtId="0" fontId="0" fillId="21" borderId="0" xfId="0" applyFont="1" applyFill="1" applyAlignment="1">
      <alignment horizontal="center"/>
    </xf>
    <xf numFmtId="0" fontId="0" fillId="21" borderId="10" xfId="0" applyFont="1" applyFill="1" applyBorder="1" applyAlignment="1">
      <alignment horizontal="center"/>
    </xf>
    <xf numFmtId="0" fontId="0" fillId="0" borderId="0" xfId="0" applyBorder="1"/>
    <xf numFmtId="44" fontId="0" fillId="0" borderId="0" xfId="0" applyNumberFormat="1" applyBorder="1"/>
    <xf numFmtId="44" fontId="20" fillId="0" borderId="14" xfId="0" applyNumberFormat="1" applyFont="1" applyFill="1" applyBorder="1" applyProtection="1"/>
    <xf numFmtId="44" fontId="20" fillId="0" borderId="14" xfId="2" applyFont="1" applyFill="1" applyBorder="1" applyProtection="1">
      <protection locked="0"/>
    </xf>
    <xf numFmtId="44" fontId="20" fillId="4" borderId="14" xfId="2" applyFont="1" applyFill="1" applyBorder="1" applyProtection="1">
      <protection locked="0"/>
    </xf>
    <xf numFmtId="44" fontId="0" fillId="15" borderId="0" xfId="0" applyNumberFormat="1" applyFill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 vertical="center"/>
    </xf>
    <xf numFmtId="44" fontId="0" fillId="22" borderId="0" xfId="0" applyNumberFormat="1" applyFill="1" applyBorder="1"/>
    <xf numFmtId="44" fontId="0" fillId="22" borderId="0" xfId="2" applyFont="1" applyFill="1" applyBorder="1"/>
    <xf numFmtId="0" fontId="19" fillId="22" borderId="18" xfId="0" applyFont="1" applyFill="1" applyBorder="1" applyAlignment="1" applyProtection="1">
      <alignment vertical="center" wrapText="1"/>
    </xf>
    <xf numFmtId="0" fontId="19" fillId="22" borderId="14" xfId="0" applyFont="1" applyFill="1" applyBorder="1" applyAlignment="1" applyProtection="1">
      <alignment wrapText="1"/>
    </xf>
    <xf numFmtId="44" fontId="0" fillId="22" borderId="0" xfId="0" applyNumberFormat="1" applyFill="1"/>
    <xf numFmtId="44" fontId="20" fillId="7" borderId="0" xfId="2" applyFont="1" applyFill="1" applyAlignment="1">
      <alignment horizontal="center"/>
    </xf>
    <xf numFmtId="0" fontId="0" fillId="2" borderId="0" xfId="0" applyFont="1" applyFill="1" applyBorder="1" applyAlignment="1">
      <alignment horizontal="center"/>
    </xf>
    <xf numFmtId="44" fontId="0" fillId="2" borderId="0" xfId="2" applyFont="1" applyFill="1" applyAlignment="1">
      <alignment horizontal="center"/>
    </xf>
    <xf numFmtId="0" fontId="0" fillId="2" borderId="0" xfId="0" applyFont="1" applyFill="1" applyAlignment="1">
      <alignment horizontal="center"/>
    </xf>
    <xf numFmtId="44" fontId="0" fillId="2" borderId="0" xfId="0" applyNumberFormat="1" applyFont="1" applyFill="1"/>
    <xf numFmtId="0" fontId="46" fillId="23" borderId="0" xfId="5" applyFont="1" applyFill="1" applyAlignment="1" applyProtection="1">
      <alignment horizontal="center" wrapText="1"/>
    </xf>
    <xf numFmtId="0" fontId="46" fillId="23" borderId="0" xfId="5" applyFont="1" applyFill="1" applyAlignment="1" applyProtection="1">
      <alignment wrapText="1"/>
    </xf>
    <xf numFmtId="44" fontId="0" fillId="15" borderId="0" xfId="2" applyFont="1" applyFill="1" applyBorder="1"/>
    <xf numFmtId="44" fontId="0" fillId="15" borderId="0" xfId="0" applyNumberFormat="1" applyFont="1" applyFill="1"/>
    <xf numFmtId="0" fontId="0" fillId="7" borderId="10" xfId="0" applyFont="1" applyFill="1" applyBorder="1" applyAlignment="1">
      <alignment horizontal="center"/>
    </xf>
    <xf numFmtId="0" fontId="0" fillId="15" borderId="11" xfId="0" applyFont="1" applyFill="1" applyBorder="1" applyAlignment="1">
      <alignment horizontal="center"/>
    </xf>
    <xf numFmtId="0" fontId="0" fillId="15" borderId="0" xfId="0" applyFont="1" applyFill="1" applyAlignment="1">
      <alignment horizontal="center"/>
    </xf>
    <xf numFmtId="0" fontId="38" fillId="0" borderId="0" xfId="0" applyFont="1" applyFill="1" applyBorder="1" applyAlignment="1" applyProtection="1">
      <alignment horizontal="left" vertical="top"/>
    </xf>
    <xf numFmtId="44" fontId="0" fillId="22" borderId="0" xfId="2" applyFont="1" applyFill="1" applyAlignment="1">
      <alignment horizontal="center"/>
    </xf>
    <xf numFmtId="44" fontId="20" fillId="15" borderId="0" xfId="2" applyFont="1" applyFill="1" applyBorder="1"/>
    <xf numFmtId="0" fontId="19" fillId="0" borderId="0" xfId="0" applyFont="1" applyAlignment="1" applyProtection="1">
      <alignment horizontal="right" vertical="center"/>
    </xf>
    <xf numFmtId="0" fontId="20" fillId="24" borderId="7" xfId="0" applyFont="1" applyFill="1" applyBorder="1" applyAlignment="1">
      <alignment horizontal="center"/>
    </xf>
    <xf numFmtId="0" fontId="20" fillId="24" borderId="8" xfId="0" applyFont="1" applyFill="1" applyBorder="1" applyAlignment="1">
      <alignment horizontal="center"/>
    </xf>
    <xf numFmtId="0" fontId="20" fillId="24" borderId="10" xfId="0" applyFont="1" applyFill="1" applyBorder="1" applyAlignment="1">
      <alignment horizontal="center" wrapText="1"/>
    </xf>
    <xf numFmtId="0" fontId="20" fillId="24" borderId="0" xfId="0" applyFont="1" applyFill="1" applyBorder="1" applyAlignment="1">
      <alignment horizontal="center" wrapText="1"/>
    </xf>
    <xf numFmtId="0" fontId="20" fillId="24" borderId="0" xfId="0" applyFont="1" applyFill="1" applyBorder="1" applyAlignment="1">
      <alignment horizontal="center"/>
    </xf>
    <xf numFmtId="0" fontId="20" fillId="24" borderId="4" xfId="0" applyFont="1" applyFill="1" applyBorder="1" applyAlignment="1">
      <alignment horizontal="center" wrapText="1"/>
    </xf>
    <xf numFmtId="0" fontId="0" fillId="0" borderId="0" xfId="0" applyAlignment="1">
      <alignment horizontal="right" vertical="center" indent="1"/>
    </xf>
    <xf numFmtId="0" fontId="0" fillId="0" borderId="0" xfId="0" applyFill="1" applyAlignment="1">
      <alignment horizontal="right" vertical="center" indent="1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right" vertical="center"/>
    </xf>
    <xf numFmtId="167" fontId="0" fillId="0" borderId="0" xfId="0" applyNumberFormat="1"/>
    <xf numFmtId="0" fontId="0" fillId="0" borderId="0" xfId="0" applyAlignment="1">
      <alignment horizontal="right"/>
    </xf>
    <xf numFmtId="0" fontId="47" fillId="0" borderId="0" xfId="0" applyFont="1" applyAlignment="1">
      <alignment wrapText="1"/>
    </xf>
    <xf numFmtId="0" fontId="47" fillId="0" borderId="0" xfId="0" applyFont="1" applyAlignment="1">
      <alignment horizontal="right" vertical="center"/>
    </xf>
    <xf numFmtId="0" fontId="12" fillId="5" borderId="0" xfId="5" applyFont="1" applyFill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8" fillId="6" borderId="0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 vertical="center"/>
    </xf>
    <xf numFmtId="0" fontId="0" fillId="25" borderId="38" xfId="0" applyFill="1" applyBorder="1" applyAlignment="1" applyProtection="1">
      <alignment horizontal="center" wrapText="1"/>
    </xf>
    <xf numFmtId="44" fontId="20" fillId="0" borderId="41" xfId="0" applyNumberFormat="1" applyFont="1" applyBorder="1" applyProtection="1"/>
    <xf numFmtId="0" fontId="0" fillId="25" borderId="42" xfId="0" applyFill="1" applyBorder="1" applyAlignment="1" applyProtection="1">
      <alignment horizontal="center" wrapText="1"/>
    </xf>
    <xf numFmtId="44" fontId="20" fillId="0" borderId="45" xfId="0" applyNumberFormat="1" applyFont="1" applyBorder="1" applyProtection="1"/>
    <xf numFmtId="44" fontId="20" fillId="0" borderId="52" xfId="0" applyNumberFormat="1" applyFont="1" applyBorder="1" applyProtection="1"/>
    <xf numFmtId="44" fontId="20" fillId="0" borderId="53" xfId="0" applyNumberFormat="1" applyFont="1" applyBorder="1" applyProtection="1"/>
    <xf numFmtId="167" fontId="0" fillId="0" borderId="43" xfId="0" applyNumberFormat="1" applyBorder="1" applyProtection="1">
      <protection locked="0"/>
    </xf>
    <xf numFmtId="167" fontId="0" fillId="0" borderId="48" xfId="0" applyNumberFormat="1" applyBorder="1" applyProtection="1">
      <protection locked="0"/>
    </xf>
    <xf numFmtId="167" fontId="0" fillId="0" borderId="49" xfId="0" applyNumberFormat="1" applyBorder="1" applyProtection="1">
      <protection locked="0"/>
    </xf>
    <xf numFmtId="167" fontId="0" fillId="26" borderId="44" xfId="0" applyNumberFormat="1" applyFill="1" applyBorder="1" applyProtection="1">
      <protection locked="0"/>
    </xf>
    <xf numFmtId="167" fontId="0" fillId="26" borderId="50" xfId="0" applyNumberFormat="1" applyFill="1" applyBorder="1" applyProtection="1">
      <protection locked="0"/>
    </xf>
    <xf numFmtId="167" fontId="0" fillId="26" borderId="51" xfId="0" applyNumberFormat="1" applyFill="1" applyBorder="1" applyProtection="1">
      <protection locked="0"/>
    </xf>
    <xf numFmtId="167" fontId="0" fillId="0" borderId="44" xfId="0" applyNumberFormat="1" applyBorder="1" applyProtection="1">
      <protection locked="0"/>
    </xf>
    <xf numFmtId="167" fontId="0" fillId="0" borderId="50" xfId="0" applyNumberFormat="1" applyBorder="1" applyProtection="1">
      <protection locked="0"/>
    </xf>
    <xf numFmtId="167" fontId="0" fillId="0" borderId="51" xfId="0" applyNumberFormat="1" applyBorder="1" applyProtection="1">
      <protection locked="0"/>
    </xf>
    <xf numFmtId="0" fontId="12" fillId="5" borderId="54" xfId="5" applyFont="1" applyFill="1" applyBorder="1" applyAlignment="1" applyProtection="1">
      <alignment horizontal="center" vertical="center" wrapText="1"/>
    </xf>
    <xf numFmtId="0" fontId="12" fillId="5" borderId="46" xfId="5" applyFont="1" applyFill="1" applyBorder="1" applyAlignment="1" applyProtection="1">
      <alignment horizontal="center" vertical="center" wrapText="1"/>
    </xf>
    <xf numFmtId="0" fontId="12" fillId="5" borderId="47" xfId="5" applyFont="1" applyFill="1" applyBorder="1" applyAlignment="1" applyProtection="1">
      <alignment horizontal="center" vertical="center" wrapText="1"/>
    </xf>
    <xf numFmtId="0" fontId="12" fillId="5" borderId="38" xfId="5" applyFont="1" applyFill="1" applyBorder="1" applyAlignment="1" applyProtection="1">
      <alignment horizontal="center" vertical="center" wrapText="1"/>
    </xf>
    <xf numFmtId="167" fontId="0" fillId="0" borderId="55" xfId="0" applyNumberFormat="1" applyBorder="1" applyProtection="1">
      <protection locked="0"/>
    </xf>
    <xf numFmtId="167" fontId="0" fillId="26" borderId="40" xfId="0" applyNumberFormat="1" applyFill="1" applyBorder="1" applyProtection="1">
      <protection locked="0"/>
    </xf>
    <xf numFmtId="167" fontId="0" fillId="0" borderId="40" xfId="0" applyNumberFormat="1" applyBorder="1" applyProtection="1">
      <protection locked="0"/>
    </xf>
    <xf numFmtId="167" fontId="0" fillId="0" borderId="56" xfId="0" applyNumberFormat="1" applyBorder="1" applyProtection="1">
      <protection locked="0"/>
    </xf>
    <xf numFmtId="167" fontId="0" fillId="26" borderId="57" xfId="0" applyNumberFormat="1" applyFill="1" applyBorder="1" applyProtection="1">
      <protection locked="0"/>
    </xf>
    <xf numFmtId="167" fontId="0" fillId="0" borderId="57" xfId="0" applyNumberFormat="1" applyBorder="1" applyProtection="1">
      <protection locked="0"/>
    </xf>
    <xf numFmtId="44" fontId="20" fillId="0" borderId="58" xfId="0" applyNumberFormat="1" applyFont="1" applyBorder="1" applyProtection="1"/>
    <xf numFmtId="0" fontId="47" fillId="0" borderId="0" xfId="0" applyFont="1" applyAlignment="1">
      <alignment horizontal="left" vertical="top" wrapText="1"/>
    </xf>
    <xf numFmtId="0" fontId="0" fillId="27" borderId="46" xfId="0" applyFill="1" applyBorder="1" applyAlignment="1" applyProtection="1">
      <alignment horizontal="center" wrapText="1"/>
    </xf>
    <xf numFmtId="0" fontId="0" fillId="27" borderId="47" xfId="0" applyFill="1" applyBorder="1" applyAlignment="1" applyProtection="1">
      <alignment horizontal="center" wrapText="1"/>
    </xf>
    <xf numFmtId="167" fontId="0" fillId="0" borderId="39" xfId="0" applyNumberFormat="1" applyBorder="1" applyProtection="1">
      <protection locked="0"/>
    </xf>
    <xf numFmtId="0" fontId="0" fillId="27" borderId="38" xfId="0" applyFill="1" applyBorder="1" applyAlignment="1" applyProtection="1">
      <alignment horizontal="center" wrapText="1"/>
    </xf>
    <xf numFmtId="0" fontId="12" fillId="5" borderId="0" xfId="1" applyFont="1" applyFill="1" applyAlignment="1">
      <alignment horizontal="center" vertical="top" wrapText="1"/>
    </xf>
    <xf numFmtId="0" fontId="5" fillId="0" borderId="0" xfId="1" applyAlignment="1">
      <alignment vertical="top"/>
    </xf>
    <xf numFmtId="0" fontId="5" fillId="0" borderId="0" xfId="1" applyAlignment="1">
      <alignment horizontal="center" vertical="top"/>
    </xf>
    <xf numFmtId="0" fontId="11" fillId="0" borderId="0" xfId="1" applyFont="1" applyAlignment="1">
      <alignment vertical="top"/>
    </xf>
    <xf numFmtId="0" fontId="11" fillId="0" borderId="0" xfId="1" applyFont="1" applyAlignment="1">
      <alignment vertical="top" wrapText="1"/>
    </xf>
    <xf numFmtId="0" fontId="17" fillId="0" borderId="0" xfId="0" applyFont="1" applyAlignment="1" applyProtection="1">
      <alignment vertical="top"/>
    </xf>
    <xf numFmtId="0" fontId="0" fillId="0" borderId="0" xfId="0" applyAlignment="1">
      <alignment vertical="top"/>
    </xf>
    <xf numFmtId="0" fontId="12" fillId="5" borderId="0" xfId="1" applyFont="1" applyFill="1" applyAlignment="1">
      <alignment horizontal="right" vertical="top" wrapText="1"/>
    </xf>
    <xf numFmtId="0" fontId="11" fillId="0" borderId="0" xfId="1" applyFont="1" applyAlignment="1">
      <alignment horizontal="right" vertical="top"/>
    </xf>
    <xf numFmtId="0" fontId="5" fillId="0" borderId="0" xfId="1" applyAlignment="1">
      <alignment horizontal="right" vertical="top"/>
    </xf>
    <xf numFmtId="0" fontId="21" fillId="3" borderId="1" xfId="6" applyFill="1" applyBorder="1" applyAlignment="1" applyProtection="1">
      <alignment horizontal="left" vertical="center"/>
      <protection locked="0"/>
    </xf>
    <xf numFmtId="0" fontId="9" fillId="4" borderId="1" xfId="4" applyAlignment="1" applyProtection="1">
      <alignment horizontal="left" vertical="center"/>
      <protection locked="0"/>
    </xf>
    <xf numFmtId="0" fontId="9" fillId="3" borderId="1" xfId="3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/>
    </xf>
    <xf numFmtId="7" fontId="17" fillId="0" borderId="0" xfId="2" applyNumberFormat="1" applyFont="1" applyAlignment="1" applyProtection="1">
      <alignment horizontal="left"/>
    </xf>
    <xf numFmtId="164" fontId="17" fillId="0" borderId="0" xfId="2" applyNumberFormat="1" applyFont="1" applyAlignment="1" applyProtection="1">
      <alignment horizontal="left"/>
    </xf>
    <xf numFmtId="0" fontId="31" fillId="0" borderId="0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left" wrapText="1"/>
    </xf>
    <xf numFmtId="0" fontId="16" fillId="0" borderId="0" xfId="0" applyFont="1" applyAlignment="1" applyProtection="1">
      <alignment horizontal="left" wrapText="1"/>
    </xf>
    <xf numFmtId="0" fontId="24" fillId="0" borderId="0" xfId="0" applyFont="1" applyAlignment="1" applyProtection="1">
      <alignment vertical="center" wrapText="1"/>
    </xf>
    <xf numFmtId="0" fontId="24" fillId="0" borderId="0" xfId="0" applyNumberFormat="1" applyFont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 wrapText="1"/>
    </xf>
    <xf numFmtId="0" fontId="13" fillId="8" borderId="5" xfId="0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left" wrapText="1"/>
    </xf>
    <xf numFmtId="0" fontId="16" fillId="4" borderId="2" xfId="0" applyNumberFormat="1" applyFont="1" applyFill="1" applyBorder="1" applyAlignment="1" applyProtection="1">
      <alignment horizontal="left" wrapText="1"/>
      <protection locked="0"/>
    </xf>
    <xf numFmtId="44" fontId="32" fillId="0" borderId="0" xfId="2" applyFont="1" applyAlignment="1" applyProtection="1">
      <alignment horizontal="left" wrapText="1"/>
    </xf>
    <xf numFmtId="0" fontId="48" fillId="3" borderId="26" xfId="0" applyFont="1" applyFill="1" applyBorder="1" applyAlignment="1" applyProtection="1">
      <alignment horizontal="left" vertical="top" wrapText="1"/>
      <protection locked="0"/>
    </xf>
    <xf numFmtId="0" fontId="48" fillId="3" borderId="27" xfId="0" applyFont="1" applyFill="1" applyBorder="1" applyAlignment="1" applyProtection="1">
      <alignment horizontal="left" vertical="top" wrapText="1"/>
      <protection locked="0"/>
    </xf>
    <xf numFmtId="0" fontId="29" fillId="5" borderId="7" xfId="0" applyFont="1" applyFill="1" applyBorder="1" applyAlignment="1" applyProtection="1">
      <alignment horizontal="center"/>
    </xf>
    <xf numFmtId="0" fontId="29" fillId="5" borderId="8" xfId="0" applyFont="1" applyFill="1" applyBorder="1" applyAlignment="1" applyProtection="1">
      <alignment horizontal="center"/>
    </xf>
    <xf numFmtId="0" fontId="29" fillId="5" borderId="9" xfId="0" applyFont="1" applyFill="1" applyBorder="1" applyAlignment="1" applyProtection="1">
      <alignment horizontal="center"/>
    </xf>
    <xf numFmtId="0" fontId="18" fillId="6" borderId="0" xfId="0" applyFont="1" applyFill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left" vertical="center" wrapText="1"/>
    </xf>
    <xf numFmtId="0" fontId="33" fillId="0" borderId="0" xfId="0" applyFont="1" applyAlignment="1" applyProtection="1">
      <alignment horizontal="right" vertical="center"/>
    </xf>
    <xf numFmtId="0" fontId="30" fillId="0" borderId="0" xfId="0" applyFont="1" applyAlignment="1" applyProtection="1">
      <alignment horizontal="right"/>
    </xf>
    <xf numFmtId="0" fontId="30" fillId="0" borderId="30" xfId="0" applyFont="1" applyBorder="1" applyAlignment="1" applyProtection="1">
      <alignment horizontal="right"/>
    </xf>
    <xf numFmtId="0" fontId="30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 vertical="center"/>
    </xf>
    <xf numFmtId="0" fontId="14" fillId="0" borderId="30" xfId="0" applyFont="1" applyBorder="1" applyAlignment="1" applyProtection="1">
      <alignment horizontal="right" vertical="center"/>
    </xf>
    <xf numFmtId="0" fontId="14" fillId="14" borderId="17" xfId="0" applyFont="1" applyFill="1" applyBorder="1" applyAlignment="1" applyProtection="1">
      <alignment horizontal="right" vertical="center"/>
    </xf>
    <xf numFmtId="0" fontId="14" fillId="14" borderId="18" xfId="0" applyFont="1" applyFill="1" applyBorder="1" applyAlignment="1" applyProtection="1">
      <alignment horizontal="right" vertical="center"/>
    </xf>
    <xf numFmtId="0" fontId="14" fillId="14" borderId="19" xfId="0" applyFont="1" applyFill="1" applyBorder="1" applyAlignment="1" applyProtection="1">
      <alignment horizontal="right" vertical="center"/>
    </xf>
    <xf numFmtId="0" fontId="14" fillId="14" borderId="14" xfId="0" applyFont="1" applyFill="1" applyBorder="1" applyAlignment="1" applyProtection="1">
      <alignment horizontal="right" vertical="center"/>
    </xf>
    <xf numFmtId="0" fontId="47" fillId="0" borderId="0" xfId="0" applyFont="1" applyAlignment="1">
      <alignment horizontal="left" vertical="top" wrapText="1"/>
    </xf>
    <xf numFmtId="0" fontId="9" fillId="3" borderId="26" xfId="0" applyFont="1" applyFill="1" applyBorder="1" applyAlignment="1" applyProtection="1">
      <alignment horizontal="left" vertical="top" wrapText="1"/>
      <protection locked="0"/>
    </xf>
    <xf numFmtId="0" fontId="9" fillId="3" borderId="27" xfId="0" applyFont="1" applyFill="1" applyBorder="1" applyAlignment="1" applyProtection="1">
      <alignment horizontal="left" vertical="top" wrapText="1"/>
      <protection locked="0"/>
    </xf>
    <xf numFmtId="0" fontId="29" fillId="5" borderId="7" xfId="0" applyFont="1" applyFill="1" applyBorder="1" applyAlignment="1">
      <alignment horizontal="center"/>
    </xf>
    <xf numFmtId="0" fontId="29" fillId="5" borderId="8" xfId="0" applyFont="1" applyFill="1" applyBorder="1" applyAlignment="1">
      <alignment horizontal="center"/>
    </xf>
    <xf numFmtId="0" fontId="29" fillId="5" borderId="9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20" fillId="13" borderId="8" xfId="0" applyFont="1" applyFill="1" applyBorder="1" applyAlignment="1">
      <alignment horizontal="center"/>
    </xf>
    <xf numFmtId="0" fontId="20" fillId="11" borderId="8" xfId="0" applyFont="1" applyFill="1" applyBorder="1" applyAlignment="1">
      <alignment horizontal="center"/>
    </xf>
    <xf numFmtId="0" fontId="20" fillId="11" borderId="9" xfId="0" applyFont="1" applyFill="1" applyBorder="1" applyAlignment="1">
      <alignment horizontal="center"/>
    </xf>
    <xf numFmtId="0" fontId="20" fillId="17" borderId="8" xfId="0" applyFont="1" applyFill="1" applyBorder="1" applyAlignment="1">
      <alignment horizontal="center"/>
    </xf>
    <xf numFmtId="0" fontId="1" fillId="17" borderId="8" xfId="0" applyFont="1" applyFill="1" applyBorder="1" applyAlignment="1">
      <alignment horizontal="center"/>
    </xf>
    <xf numFmtId="0" fontId="1" fillId="17" borderId="9" xfId="0" applyFont="1" applyFill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7" borderId="8" xfId="0" applyFont="1" applyFill="1" applyBorder="1" applyAlignment="1">
      <alignment horizontal="center" wrapText="1"/>
    </xf>
    <xf numFmtId="0" fontId="20" fillId="7" borderId="8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0" fontId="1" fillId="13" borderId="9" xfId="0" applyFont="1" applyFill="1" applyBorder="1" applyAlignment="1">
      <alignment horizontal="center"/>
    </xf>
    <xf numFmtId="0" fontId="45" fillId="18" borderId="7" xfId="0" applyFont="1" applyFill="1" applyBorder="1" applyAlignment="1">
      <alignment horizontal="center"/>
    </xf>
    <xf numFmtId="0" fontId="45" fillId="18" borderId="8" xfId="0" applyFont="1" applyFill="1" applyBorder="1" applyAlignment="1">
      <alignment horizontal="center"/>
    </xf>
    <xf numFmtId="0" fontId="45" fillId="18" borderId="9" xfId="0" applyFont="1" applyFill="1" applyBorder="1" applyAlignment="1">
      <alignment horizontal="center"/>
    </xf>
    <xf numFmtId="0" fontId="20" fillId="24" borderId="8" xfId="0" applyFont="1" applyFill="1" applyBorder="1" applyAlignment="1">
      <alignment horizontal="center"/>
    </xf>
    <xf numFmtId="0" fontId="1" fillId="24" borderId="8" xfId="0" applyFont="1" applyFill="1" applyBorder="1" applyAlignment="1">
      <alignment horizontal="center"/>
    </xf>
    <xf numFmtId="0" fontId="1" fillId="24" borderId="9" xfId="0" applyFont="1" applyFill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8" xfId="0" applyFont="1" applyBorder="1" applyAlignment="1">
      <alignment horizontal="center"/>
    </xf>
  </cellXfs>
  <cellStyles count="8">
    <cellStyle name="Currency" xfId="2" builtinId="4"/>
    <cellStyle name="Hyperlink" xfId="6" builtinId="8"/>
    <cellStyle name="Line 1 Report Info Fill in" xfId="3" xr:uid="{00000000-0005-0000-0000-000002000000}"/>
    <cellStyle name="Line 2 Report Information Fill In" xfId="4" xr:uid="{00000000-0005-0000-0000-000003000000}"/>
    <cellStyle name="Normal" xfId="0" builtinId="0"/>
    <cellStyle name="Normal 10 2" xfId="5" xr:uid="{00000000-0005-0000-0000-000005000000}"/>
    <cellStyle name="Normal 2" xfId="1" xr:uid="{00000000-0005-0000-0000-000006000000}"/>
    <cellStyle name="Percent" xfId="7" builtinId="5"/>
  </cellStyles>
  <dxfs count="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theme="4"/>
        </patternFill>
      </fill>
    </dxf>
  </dxfs>
  <tableStyles count="0" defaultTableStyle="TableStyleMedium2" defaultPivotStyle="PivotStyleLight16"/>
  <colors>
    <mruColors>
      <color rgb="FFF29C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241729</xdr:colOff>
      <xdr:row>0</xdr:row>
      <xdr:rowOff>48830</xdr:rowOff>
    </xdr:from>
    <xdr:to>
      <xdr:col>7</xdr:col>
      <xdr:colOff>2496487</xdr:colOff>
      <xdr:row>2</xdr:row>
      <xdr:rowOff>398690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3D770B-34FF-4886-B05A-E014EF0DD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9158" y="48830"/>
          <a:ext cx="2258568" cy="835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289296</xdr:colOff>
      <xdr:row>0</xdr:row>
      <xdr:rowOff>66787</xdr:rowOff>
    </xdr:from>
    <xdr:to>
      <xdr:col>6</xdr:col>
      <xdr:colOff>511637</xdr:colOff>
      <xdr:row>2</xdr:row>
      <xdr:rowOff>360552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4E0CD3-F32B-46BB-BECD-94E7E9F9E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3153" y="66787"/>
          <a:ext cx="2240281" cy="7972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289296</xdr:colOff>
      <xdr:row>0</xdr:row>
      <xdr:rowOff>66787</xdr:rowOff>
    </xdr:from>
    <xdr:to>
      <xdr:col>6</xdr:col>
      <xdr:colOff>511637</xdr:colOff>
      <xdr:row>2</xdr:row>
      <xdr:rowOff>360552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02057D-7E5C-4623-8026-6DF34A00B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8196" y="66787"/>
          <a:ext cx="2251166" cy="808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lccoc.org/forms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65"/>
  <sheetViews>
    <sheetView showGridLines="0" tabSelected="1" view="pageBreakPreview" zoomScale="90" zoomScaleNormal="90" zoomScaleSheetLayoutView="90" workbookViewId="0">
      <selection activeCell="D4" sqref="D4"/>
    </sheetView>
  </sheetViews>
  <sheetFormatPr defaultColWidth="8.88671875" defaultRowHeight="15.75" x14ac:dyDescent="0.3"/>
  <cols>
    <col min="1" max="1" width="24.77734375" style="1" customWidth="1"/>
    <col min="2" max="2" width="3.33203125" style="1" customWidth="1"/>
    <col min="3" max="3" width="21.88671875" style="1" customWidth="1"/>
    <col min="4" max="4" width="31" style="1" customWidth="1"/>
    <col min="5" max="5" width="19.5546875" style="1" customWidth="1"/>
    <col min="6" max="6" width="18.21875" style="1" customWidth="1"/>
    <col min="7" max="7" width="3.88671875" customWidth="1"/>
    <col min="8" max="8" width="37.5546875" style="1" customWidth="1"/>
    <col min="9" max="16384" width="8.88671875" style="1"/>
  </cols>
  <sheetData>
    <row r="1" spans="1:13" ht="21" customHeight="1" x14ac:dyDescent="0.3">
      <c r="A1" s="72" t="s">
        <v>215</v>
      </c>
      <c r="B1" s="66"/>
      <c r="C1" s="71"/>
      <c r="D1" s="66"/>
      <c r="E1" s="66"/>
      <c r="F1" s="66"/>
      <c r="G1" s="1"/>
      <c r="H1" s="66"/>
    </row>
    <row r="2" spans="1:13" ht="16.5" x14ac:dyDescent="0.3">
      <c r="A2" s="339" t="str">
        <f>INDEX(BasicLookupData!I2:I5,MATCH(Estimate!F4,BasicLookupData!H2:H5,0))</f>
        <v xml:space="preserve"> Form # 4</v>
      </c>
      <c r="B2" s="339"/>
      <c r="C2" s="339"/>
      <c r="E2" s="14"/>
      <c r="F2" s="13"/>
      <c r="G2" s="1"/>
      <c r="H2" s="13"/>
      <c r="I2" s="13"/>
      <c r="J2" s="13"/>
      <c r="K2" s="13"/>
      <c r="L2" s="13"/>
      <c r="M2" s="13"/>
    </row>
    <row r="3" spans="1:13" ht="40.5" customHeight="1" x14ac:dyDescent="0.3">
      <c r="A3" s="338" t="str">
        <f>INDEX(BasicLookupData!J2:J5,MATCH(Estimate!F4,BasicLookupData!H2:H5,0))</f>
        <v xml:space="preserve"> SFY 19/20: Q3 Apr - May - Jun
 CFY 19/20: Q4 Apr - May - Jun</v>
      </c>
      <c r="B3" s="338"/>
      <c r="C3" s="338"/>
      <c r="E3" s="14"/>
      <c r="F3" s="13"/>
      <c r="G3" s="1"/>
      <c r="H3" s="13"/>
      <c r="I3" s="13"/>
      <c r="J3" s="13"/>
      <c r="K3" s="13"/>
      <c r="L3" s="13"/>
      <c r="M3" s="13"/>
    </row>
    <row r="4" spans="1:13" ht="27" x14ac:dyDescent="0.3">
      <c r="A4" s="344" t="s">
        <v>195</v>
      </c>
      <c r="B4" s="344"/>
      <c r="C4" s="15" t="s">
        <v>101</v>
      </c>
      <c r="D4" s="331"/>
      <c r="E4" s="15" t="s">
        <v>258</v>
      </c>
      <c r="F4" s="54" t="s">
        <v>212</v>
      </c>
      <c r="G4" s="1"/>
      <c r="H4" s="284" t="s">
        <v>382</v>
      </c>
      <c r="I4" s="13"/>
      <c r="J4" s="13"/>
      <c r="K4" s="13"/>
      <c r="L4" s="13"/>
      <c r="M4" s="13"/>
    </row>
    <row r="5" spans="1:13" ht="25.5" customHeight="1" x14ac:dyDescent="0.3">
      <c r="A5" s="344"/>
      <c r="B5" s="344"/>
      <c r="C5" s="15" t="s">
        <v>102</v>
      </c>
      <c r="D5" s="330"/>
      <c r="E5" s="15" t="s">
        <v>205</v>
      </c>
      <c r="F5" s="16"/>
      <c r="G5" s="1"/>
      <c r="H5" s="13"/>
      <c r="I5" s="13"/>
      <c r="J5" s="13"/>
      <c r="K5" s="13"/>
      <c r="L5" s="13"/>
      <c r="M5" s="13"/>
    </row>
    <row r="6" spans="1:13" ht="24" customHeight="1" x14ac:dyDescent="0.3">
      <c r="A6" s="344"/>
      <c r="B6" s="344"/>
      <c r="C6" s="15" t="s">
        <v>103</v>
      </c>
      <c r="D6" s="329"/>
      <c r="G6" s="1"/>
      <c r="H6" s="13"/>
      <c r="I6" s="13"/>
      <c r="J6" s="13"/>
      <c r="K6" s="13"/>
      <c r="L6" s="13"/>
      <c r="M6" s="13"/>
    </row>
    <row r="7" spans="1:13" ht="24" customHeight="1" x14ac:dyDescent="0.3">
      <c r="A7" s="113" t="s">
        <v>259</v>
      </c>
      <c r="G7" s="1"/>
      <c r="I7" s="13"/>
    </row>
    <row r="8" spans="1:13" ht="21" x14ac:dyDescent="0.3">
      <c r="B8" s="19" t="s">
        <v>0</v>
      </c>
      <c r="D8" s="3"/>
      <c r="E8" s="3"/>
      <c r="G8" s="1"/>
    </row>
    <row r="9" spans="1:13" ht="32.25" customHeight="1" x14ac:dyDescent="0.3">
      <c r="C9" s="340" t="s">
        <v>117</v>
      </c>
      <c r="D9" s="340"/>
      <c r="F9" s="24"/>
      <c r="G9" s="1"/>
    </row>
    <row r="10" spans="1:13" ht="15.75" customHeight="1" x14ac:dyDescent="0.35">
      <c r="C10" s="18"/>
      <c r="D10" s="4"/>
      <c r="G10" s="1"/>
    </row>
    <row r="11" spans="1:13" ht="21" x14ac:dyDescent="0.3">
      <c r="B11" s="19" t="s">
        <v>80</v>
      </c>
      <c r="D11" s="3"/>
      <c r="E11" s="3"/>
      <c r="G11" s="1"/>
    </row>
    <row r="12" spans="1:13" ht="21" customHeight="1" x14ac:dyDescent="0.35">
      <c r="C12" s="340" t="s">
        <v>79</v>
      </c>
      <c r="D12" s="340"/>
      <c r="E12" s="5"/>
      <c r="F12" s="1" t="s">
        <v>195</v>
      </c>
      <c r="G12" s="1"/>
    </row>
    <row r="13" spans="1:13" ht="10.5" customHeight="1" x14ac:dyDescent="0.35">
      <c r="C13" s="6"/>
      <c r="D13" s="4"/>
      <c r="E13" s="5"/>
      <c r="G13" s="1"/>
    </row>
    <row r="14" spans="1:13" ht="21.75" customHeight="1" x14ac:dyDescent="0.3">
      <c r="D14" s="332" t="s">
        <v>1</v>
      </c>
      <c r="F14" s="24"/>
      <c r="G14" s="1"/>
    </row>
    <row r="15" spans="1:13" ht="21.75" customHeight="1" x14ac:dyDescent="0.35">
      <c r="C15" s="7"/>
      <c r="D15" s="332" t="s">
        <v>12</v>
      </c>
      <c r="F15" s="25"/>
      <c r="G15" s="1"/>
    </row>
    <row r="16" spans="1:13" ht="21.75" customHeight="1" x14ac:dyDescent="0.35">
      <c r="C16" s="7"/>
      <c r="D16" s="332" t="s">
        <v>13</v>
      </c>
      <c r="F16" s="24"/>
      <c r="G16" s="1"/>
    </row>
    <row r="17" spans="2:7" ht="11.25" customHeight="1" x14ac:dyDescent="0.35">
      <c r="C17" s="7"/>
      <c r="D17" s="332"/>
      <c r="E17" s="5"/>
      <c r="G17" s="1"/>
    </row>
    <row r="18" spans="2:7" ht="21.75" customHeight="1" x14ac:dyDescent="0.35">
      <c r="C18" s="7"/>
      <c r="D18" s="332" t="s">
        <v>14</v>
      </c>
      <c r="E18" s="4"/>
      <c r="F18" s="25"/>
      <c r="G18" s="1"/>
    </row>
    <row r="19" spans="2:7" ht="21.75" thickBot="1" x14ac:dyDescent="0.4">
      <c r="C19" s="7"/>
      <c r="D19" s="343"/>
      <c r="E19" s="343"/>
      <c r="G19" s="1"/>
    </row>
    <row r="20" spans="2:7" ht="22.5" thickTop="1" thickBot="1" x14ac:dyDescent="0.4">
      <c r="C20" s="4"/>
      <c r="D20" s="22"/>
      <c r="E20" s="21" t="s">
        <v>118</v>
      </c>
      <c r="F20" s="26">
        <f>SUM(F18,F14:F16)</f>
        <v>0</v>
      </c>
      <c r="G20" s="1"/>
    </row>
    <row r="21" spans="2:7" ht="10.5" customHeight="1" thickTop="1" x14ac:dyDescent="0.35">
      <c r="E21" s="8"/>
      <c r="G21" s="1"/>
    </row>
    <row r="22" spans="2:7" ht="21" customHeight="1" x14ac:dyDescent="0.3">
      <c r="B22" s="19" t="s">
        <v>2</v>
      </c>
      <c r="D22" s="3"/>
      <c r="E22" s="9"/>
      <c r="G22" s="1"/>
    </row>
    <row r="23" spans="2:7" ht="19.5" customHeight="1" x14ac:dyDescent="0.35">
      <c r="C23" s="342" t="s">
        <v>3</v>
      </c>
      <c r="D23" s="342"/>
      <c r="E23" s="10"/>
      <c r="G23" s="1"/>
    </row>
    <row r="24" spans="2:7" ht="21.75" customHeight="1" x14ac:dyDescent="0.35">
      <c r="C24" s="7"/>
      <c r="D24" s="333">
        <v>15</v>
      </c>
      <c r="F24" s="25"/>
      <c r="G24" s="1"/>
    </row>
    <row r="25" spans="2:7" ht="21.75" customHeight="1" x14ac:dyDescent="0.35">
      <c r="C25" s="7"/>
      <c r="D25" s="333">
        <v>30</v>
      </c>
      <c r="F25" s="24"/>
      <c r="G25" s="1"/>
    </row>
    <row r="26" spans="2:7" ht="21.75" customHeight="1" x14ac:dyDescent="0.35">
      <c r="C26" s="7"/>
      <c r="D26" s="334" t="s">
        <v>4</v>
      </c>
      <c r="F26" s="25"/>
      <c r="G26" s="1"/>
    </row>
    <row r="27" spans="2:7" ht="21.75" thickBot="1" x14ac:dyDescent="0.4">
      <c r="C27" s="7"/>
      <c r="D27" s="12"/>
      <c r="E27" s="10"/>
      <c r="G27" s="1"/>
    </row>
    <row r="28" spans="2:7" ht="22.5" thickTop="1" thickBot="1" x14ac:dyDescent="0.4">
      <c r="C28" s="7"/>
      <c r="E28" s="287" t="s">
        <v>119</v>
      </c>
      <c r="F28" s="26">
        <f>SUM(F24:F26)</f>
        <v>0</v>
      </c>
      <c r="G28" s="1"/>
    </row>
    <row r="29" spans="2:7" ht="21.75" thickTop="1" x14ac:dyDescent="0.35">
      <c r="C29" s="7"/>
      <c r="D29" s="4"/>
      <c r="E29" s="10"/>
      <c r="G29" s="1"/>
    </row>
    <row r="30" spans="2:7" ht="24" customHeight="1" x14ac:dyDescent="0.35">
      <c r="C30" s="342" t="s">
        <v>5</v>
      </c>
      <c r="D30" s="342"/>
      <c r="E30" s="10"/>
      <c r="G30" s="1"/>
    </row>
    <row r="31" spans="2:7" ht="21.75" customHeight="1" x14ac:dyDescent="0.35">
      <c r="C31" s="4"/>
      <c r="D31" s="333">
        <v>15</v>
      </c>
      <c r="F31" s="25"/>
      <c r="G31" s="1"/>
    </row>
    <row r="32" spans="2:7" ht="21.75" customHeight="1" x14ac:dyDescent="0.35">
      <c r="C32" s="4"/>
      <c r="D32" s="333">
        <v>30</v>
      </c>
      <c r="F32" s="24"/>
      <c r="G32" s="1"/>
    </row>
    <row r="33" spans="2:8" ht="21.75" customHeight="1" x14ac:dyDescent="0.35">
      <c r="C33" s="4"/>
      <c r="D33" s="20" t="s">
        <v>4</v>
      </c>
      <c r="F33" s="25"/>
      <c r="G33" s="1"/>
    </row>
    <row r="34" spans="2:8" ht="21.75" thickBot="1" x14ac:dyDescent="0.4">
      <c r="C34" s="4"/>
      <c r="D34" s="11"/>
      <c r="E34" s="10"/>
      <c r="G34" s="1"/>
    </row>
    <row r="35" spans="2:8" ht="22.5" thickTop="1" thickBot="1" x14ac:dyDescent="0.4">
      <c r="C35" s="4"/>
      <c r="E35" s="287" t="s">
        <v>120</v>
      </c>
      <c r="F35" s="26">
        <f>SUM(F31:F33)</f>
        <v>0</v>
      </c>
      <c r="G35" s="1"/>
    </row>
    <row r="36" spans="2:8" ht="20.25" thickTop="1" x14ac:dyDescent="0.35">
      <c r="C36" s="342" t="s">
        <v>6</v>
      </c>
      <c r="D36" s="342"/>
      <c r="E36" s="10"/>
      <c r="G36" s="1"/>
    </row>
    <row r="37" spans="2:8" ht="21.75" customHeight="1" x14ac:dyDescent="0.35">
      <c r="C37" s="4"/>
      <c r="D37" s="20" t="s">
        <v>7</v>
      </c>
      <c r="F37" s="24"/>
      <c r="G37" s="1"/>
    </row>
    <row r="38" spans="2:8" ht="21.75" customHeight="1" x14ac:dyDescent="0.35">
      <c r="C38" s="4"/>
      <c r="D38" s="20" t="s">
        <v>8</v>
      </c>
      <c r="F38" s="25"/>
      <c r="G38" s="1"/>
    </row>
    <row r="39" spans="2:8" ht="21.75" customHeight="1" x14ac:dyDescent="0.35">
      <c r="C39" s="4"/>
      <c r="D39" s="20" t="s">
        <v>9</v>
      </c>
      <c r="F39" s="24"/>
      <c r="G39" s="1"/>
    </row>
    <row r="40" spans="2:8" ht="21.75" customHeight="1" x14ac:dyDescent="0.35">
      <c r="C40" s="4"/>
      <c r="D40" s="20" t="s">
        <v>208</v>
      </c>
      <c r="F40" s="25"/>
      <c r="G40" s="1"/>
    </row>
    <row r="41" spans="2:8" ht="21.75" thickBot="1" x14ac:dyDescent="0.4">
      <c r="C41" s="4"/>
      <c r="D41" s="4"/>
      <c r="E41" s="10"/>
      <c r="G41" s="1"/>
    </row>
    <row r="42" spans="2:8" ht="22.5" thickTop="1" thickBot="1" x14ac:dyDescent="0.4">
      <c r="C42" s="4"/>
      <c r="E42" s="287" t="s">
        <v>121</v>
      </c>
      <c r="F42" s="26">
        <f>SUM(F37:F40)</f>
        <v>0</v>
      </c>
      <c r="G42" s="1"/>
    </row>
    <row r="43" spans="2:8" ht="21.75" thickTop="1" x14ac:dyDescent="0.35">
      <c r="C43" s="4"/>
      <c r="D43" s="4"/>
      <c r="E43" s="10"/>
      <c r="G43" s="1"/>
    </row>
    <row r="44" spans="2:8" ht="21.75" customHeight="1" x14ac:dyDescent="0.3">
      <c r="C44" s="23" t="s">
        <v>10</v>
      </c>
      <c r="D44" s="23"/>
      <c r="E44" s="287" t="s">
        <v>122</v>
      </c>
      <c r="F44" s="24"/>
      <c r="G44" s="1"/>
    </row>
    <row r="45" spans="2:8" ht="21.75" thickBot="1" x14ac:dyDescent="0.4">
      <c r="C45" s="2"/>
      <c r="D45" s="4"/>
      <c r="E45" s="10"/>
      <c r="G45" s="1"/>
    </row>
    <row r="46" spans="2:8" ht="22.5" thickTop="1" thickBot="1" x14ac:dyDescent="0.4">
      <c r="C46" s="4"/>
      <c r="E46" s="21" t="s">
        <v>123</v>
      </c>
      <c r="F46" s="27">
        <f>F44+F42+F35+F28</f>
        <v>0</v>
      </c>
      <c r="G46" s="1"/>
      <c r="H46" s="336" t="str">
        <f>IF(F48=0,"",IF(ABS(PriorActualsData!I1)&gt;PriorActualsData!B1,"Total Estimated Jury Management Cost is greather than +/- "&amp;TEXT(PriorActualsData!B1,"##.0%")&amp;" of previous "&amp;PriorActualsData!D1&amp;" Expenditures. Please include a comment in the Additional Info (green) section on the bottom of the Estimating Tool exhibit.",""))</f>
        <v/>
      </c>
    </row>
    <row r="47" spans="2:8" ht="22.5" customHeight="1" thickTop="1" thickBot="1" x14ac:dyDescent="0.35">
      <c r="C47" s="29" t="s">
        <v>99</v>
      </c>
      <c r="G47" s="1"/>
      <c r="H47" s="336"/>
    </row>
    <row r="48" spans="2:8" ht="54" customHeight="1" thickTop="1" thickBot="1" x14ac:dyDescent="0.4">
      <c r="B48" s="341" t="s">
        <v>96</v>
      </c>
      <c r="C48" s="341"/>
      <c r="D48" s="341"/>
      <c r="E48" s="341"/>
      <c r="F48" s="28">
        <f>F46+F20+F9</f>
        <v>0</v>
      </c>
      <c r="G48" s="1"/>
      <c r="H48" s="336"/>
    </row>
    <row r="49" spans="2:8" ht="16.5" thickTop="1" x14ac:dyDescent="0.3">
      <c r="F49" s="70" t="s">
        <v>125</v>
      </c>
      <c r="G49" s="1"/>
    </row>
    <row r="50" spans="2:8" x14ac:dyDescent="0.3">
      <c r="G50" s="1"/>
    </row>
    <row r="51" spans="2:8" x14ac:dyDescent="0.3">
      <c r="B51" s="49"/>
      <c r="C51" s="51" t="s">
        <v>97</v>
      </c>
      <c r="D51" s="49"/>
      <c r="E51" s="49"/>
      <c r="F51" s="49" t="s">
        <v>195</v>
      </c>
      <c r="G51" s="1"/>
      <c r="H51" s="49"/>
    </row>
    <row r="52" spans="2:8" ht="21.75" customHeight="1" x14ac:dyDescent="0.3">
      <c r="B52" s="49"/>
      <c r="C52" s="48"/>
      <c r="D52" s="49"/>
      <c r="E52" s="50" t="s">
        <v>196</v>
      </c>
      <c r="F52" s="57">
        <f>IFERROR(IF(EstimatingTool!F26&gt;0,EstimatingTool!F26,0),0)</f>
        <v>0</v>
      </c>
      <c r="G52" s="1"/>
      <c r="H52" s="335" t="str">
        <f>IF(OR(ISBLANK(EstimatingTool!D19),ISBLANK(EstimatingTool!D20)),"There were no dollar amouts  entered on the Estimating Tool  exhibit (cell references D20 and D21)  for the actual expenditures. Please include a comment(s) in the Additional Info section (cell reference B32) of the Estimatating Tool exhibit). ","")</f>
        <v xml:space="preserve">There were no dollar amouts  entered on the Estimating Tool  exhibit (cell references D20 and D21)  for the actual expenditures. Please include a comment(s) in the Additional Info section (cell reference B32) of the Estimatating Tool exhibit). </v>
      </c>
    </row>
    <row r="53" spans="2:8" x14ac:dyDescent="0.3">
      <c r="B53" s="49"/>
      <c r="C53" s="48"/>
      <c r="D53" s="49"/>
      <c r="E53" s="49"/>
      <c r="F53" s="1" t="s">
        <v>195</v>
      </c>
      <c r="G53" s="1"/>
      <c r="H53" s="335"/>
    </row>
    <row r="54" spans="2:8" ht="21.75" customHeight="1" x14ac:dyDescent="0.3">
      <c r="B54" s="49"/>
      <c r="C54" s="51" t="s">
        <v>98</v>
      </c>
      <c r="D54" s="49"/>
      <c r="E54" s="49"/>
      <c r="F54" s="49"/>
      <c r="G54" s="1"/>
      <c r="H54" s="335"/>
    </row>
    <row r="55" spans="2:8" ht="21.75" customHeight="1" x14ac:dyDescent="0.3">
      <c r="B55" s="49"/>
      <c r="C55" s="48"/>
      <c r="D55" s="49"/>
      <c r="E55" s="50" t="s">
        <v>197</v>
      </c>
      <c r="F55" s="57">
        <f>IFERROR(IF(EstimatingTool!F26&lt;0,(EstimatingTool!F26*-1),0),0)</f>
        <v>0</v>
      </c>
      <c r="G55" s="1"/>
      <c r="H55" s="335"/>
    </row>
    <row r="56" spans="2:8" ht="16.5" thickBot="1" x14ac:dyDescent="0.35">
      <c r="B56" s="49"/>
      <c r="C56" s="49"/>
      <c r="D56" s="49"/>
      <c r="E56" s="49"/>
      <c r="F56" s="49" t="s">
        <v>195</v>
      </c>
      <c r="G56" s="1"/>
      <c r="H56" s="335"/>
    </row>
    <row r="57" spans="2:8" ht="25.5" thickTop="1" thickBot="1" x14ac:dyDescent="0.4">
      <c r="B57" s="341" t="s">
        <v>100</v>
      </c>
      <c r="C57" s="341"/>
      <c r="D57" s="341"/>
      <c r="E57" s="341"/>
      <c r="F57" s="28">
        <f>IFERROR(IF(F48-F52+F55&lt;0,0,F48-F52+F55),0)</f>
        <v>0</v>
      </c>
      <c r="G57" s="1"/>
      <c r="H57" s="1" t="s">
        <v>195</v>
      </c>
    </row>
    <row r="58" spans="2:8" ht="16.5" thickTop="1" x14ac:dyDescent="0.3">
      <c r="F58" s="70" t="s">
        <v>124</v>
      </c>
      <c r="G58" s="1"/>
    </row>
    <row r="59" spans="2:8" x14ac:dyDescent="0.3">
      <c r="G59" s="1"/>
    </row>
    <row r="60" spans="2:8" x14ac:dyDescent="0.3">
      <c r="B60" s="30" t="s">
        <v>15</v>
      </c>
      <c r="F60" s="49" t="s">
        <v>195</v>
      </c>
      <c r="G60" s="1"/>
    </row>
    <row r="61" spans="2:8" ht="29.25" customHeight="1" x14ac:dyDescent="0.3">
      <c r="B61" s="73">
        <v>1</v>
      </c>
      <c r="C61" s="337" t="s">
        <v>206</v>
      </c>
      <c r="D61" s="337"/>
      <c r="E61" s="337"/>
      <c r="F61" s="337"/>
      <c r="G61" s="1"/>
    </row>
    <row r="62" spans="2:8" ht="18" x14ac:dyDescent="0.3">
      <c r="B62" s="73">
        <v>2</v>
      </c>
      <c r="C62" s="17" t="s">
        <v>207</v>
      </c>
      <c r="G62" s="1"/>
    </row>
    <row r="63" spans="2:8" x14ac:dyDescent="0.3">
      <c r="H63"/>
    </row>
    <row r="64" spans="2:8" x14ac:dyDescent="0.3">
      <c r="H64"/>
    </row>
    <row r="65" spans="8:8" x14ac:dyDescent="0.3">
      <c r="H65"/>
    </row>
  </sheetData>
  <sheetProtection algorithmName="SHA-512" hashValue="h3eo6iN+yU3jHcHAbOOyud9qHvtMnGFBsvIzpLaXXIz4cC3eHO0bT6n4c8hqGfKEOQUM+PwdIiDj2jfwW/r0Iw==" saltValue="YJpnlA3u41fUxdZSiJ+suA==" spinCount="100000" sheet="1" objects="1" scenarios="1" formatColumns="0" formatRows="0"/>
  <mergeCells count="14">
    <mergeCell ref="H52:H56"/>
    <mergeCell ref="H46:H48"/>
    <mergeCell ref="C61:F61"/>
    <mergeCell ref="A3:C3"/>
    <mergeCell ref="A2:C2"/>
    <mergeCell ref="C9:D9"/>
    <mergeCell ref="C12:D12"/>
    <mergeCell ref="B57:E57"/>
    <mergeCell ref="C23:D23"/>
    <mergeCell ref="C30:D30"/>
    <mergeCell ref="C36:D36"/>
    <mergeCell ref="D19:E19"/>
    <mergeCell ref="B48:E48"/>
    <mergeCell ref="A4:B6"/>
  </mergeCells>
  <conditionalFormatting sqref="F48">
    <cfRule type="expression" dxfId="4" priority="3">
      <formula>$H$46&lt;&gt;""</formula>
    </cfRule>
  </conditionalFormatting>
  <dataValidations count="2">
    <dataValidation type="whole" operator="greaterThanOrEqual" allowBlank="1" showInputMessage="1" showErrorMessage="1" sqref="F24:F26 F14:F16 F31:F33 F44 F18 F37:F40" xr:uid="{00000000-0002-0000-0000-000000000000}">
      <formula1>0</formula1>
    </dataValidation>
    <dataValidation type="whole" operator="greaterThanOrEqual" allowBlank="1" showInputMessage="1" showErrorMessage="1" errorTitle="ERROR" error="Must be a positive whole number." sqref="F9" xr:uid="{00000000-0002-0000-0000-000001000000}">
      <formula1>0</formula1>
    </dataValidation>
  </dataValidations>
  <hyperlinks>
    <hyperlink ref="A7" r:id="rId1" display="CCOC Website" xr:uid="{00000000-0004-0000-0000-000000000000}"/>
  </hyperlinks>
  <printOptions horizontalCentered="1" verticalCentered="1"/>
  <pageMargins left="0.25" right="0.25" top="0.5" bottom="0.5" header="0.25" footer="0.25"/>
  <pageSetup scale="55" orientation="portrait" cellComments="asDisplayed" r:id="rId2"/>
  <headerFooter>
    <oddFooter>&amp;L&amp;"+,Regular"&amp;8&amp;K03+000Page &amp;P of &amp;N&amp;C&amp;"+,Regular"&amp;8&amp;K03+000Printed: &amp;D &amp;T&amp;R&amp;"+,Regular"&amp;8&amp;K03+000&amp;F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BasicLookupData!$F$2:$F$11</xm:f>
          </x14:formula1>
          <xm:sqref>F5</xm:sqref>
        </x14:dataValidation>
        <x14:dataValidation type="list" allowBlank="1" showInputMessage="1" showErrorMessage="1" xr:uid="{00000000-0002-0000-0000-000003000000}">
          <x14:formula1>
            <xm:f>BasicLookupData!$H$2:$H$5</xm:f>
          </x14:formula1>
          <xm:sqref>F4</xm:sqref>
        </x14:dataValidation>
        <x14:dataValidation type="list" allowBlank="1" showInputMessage="1" showErrorMessage="1" xr:uid="{00000000-0002-0000-0000-000004000000}">
          <x14:formula1>
            <xm:f>BasicLookupData!$E$2:$E$68</xm:f>
          </x14:formula1>
          <xm:sqref>D4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AG194"/>
  <sheetViews>
    <sheetView workbookViewId="0">
      <selection activeCell="G44" sqref="G44"/>
    </sheetView>
  </sheetViews>
  <sheetFormatPr defaultColWidth="8.88671875" defaultRowHeight="13.5" x14ac:dyDescent="0.25"/>
  <cols>
    <col min="1" max="1" width="16.21875" style="32" customWidth="1"/>
    <col min="2" max="2" width="44.77734375" style="32" bestFit="1" customWidth="1"/>
    <col min="3" max="3" width="8.109375" style="32" customWidth="1"/>
    <col min="4" max="4" width="10.33203125" style="32" customWidth="1"/>
    <col min="5" max="16384" width="8.88671875" style="32"/>
  </cols>
  <sheetData>
    <row r="1" spans="1:12" x14ac:dyDescent="0.25">
      <c r="A1" s="31" t="s">
        <v>126</v>
      </c>
      <c r="B1" s="32" t="s">
        <v>146</v>
      </c>
      <c r="D1" s="31" t="s">
        <v>127</v>
      </c>
      <c r="E1" s="32" t="str">
        <f>IF(Estimate!D4="","None",Estimate!D4)</f>
        <v>None</v>
      </c>
      <c r="G1" s="33" t="s">
        <v>128</v>
      </c>
      <c r="H1" s="34" t="s">
        <v>129</v>
      </c>
      <c r="I1" s="34" t="s">
        <v>130</v>
      </c>
      <c r="J1" s="34" t="s">
        <v>131</v>
      </c>
      <c r="K1" s="34" t="s">
        <v>132</v>
      </c>
      <c r="L1" s="35" t="s">
        <v>133</v>
      </c>
    </row>
    <row r="2" spans="1:12" x14ac:dyDescent="0.25">
      <c r="A2" s="31" t="s">
        <v>134</v>
      </c>
      <c r="B2" s="32" t="s">
        <v>233</v>
      </c>
      <c r="G2" s="36">
        <v>1</v>
      </c>
      <c r="H2" s="37" t="s">
        <v>161</v>
      </c>
      <c r="I2" s="37" t="s">
        <v>135</v>
      </c>
      <c r="J2" s="37" t="s">
        <v>185</v>
      </c>
      <c r="K2" s="37">
        <v>20</v>
      </c>
      <c r="L2" s="38">
        <v>46</v>
      </c>
    </row>
    <row r="3" spans="1:12" x14ac:dyDescent="0.25">
      <c r="G3" s="36">
        <v>2</v>
      </c>
      <c r="H3" s="37"/>
      <c r="I3" s="37"/>
      <c r="J3" s="37"/>
      <c r="K3" s="37"/>
      <c r="L3" s="38"/>
    </row>
    <row r="4" spans="1:12" x14ac:dyDescent="0.25">
      <c r="G4" s="36">
        <v>3</v>
      </c>
      <c r="H4" s="37"/>
      <c r="I4" s="37"/>
      <c r="J4" s="37"/>
      <c r="K4" s="37"/>
      <c r="L4" s="38"/>
    </row>
    <row r="5" spans="1:12" x14ac:dyDescent="0.25">
      <c r="A5" s="39" t="s">
        <v>136</v>
      </c>
      <c r="B5" s="40">
        <v>43231</v>
      </c>
      <c r="G5" s="36">
        <v>4</v>
      </c>
      <c r="H5" s="37"/>
      <c r="I5" s="37"/>
      <c r="J5" s="37"/>
      <c r="K5" s="37"/>
      <c r="L5" s="38"/>
    </row>
    <row r="6" spans="1:12" x14ac:dyDescent="0.25">
      <c r="A6" s="39" t="s">
        <v>137</v>
      </c>
      <c r="B6" s="41"/>
      <c r="G6" s="36">
        <v>5</v>
      </c>
      <c r="L6" s="38"/>
    </row>
    <row r="7" spans="1:12" x14ac:dyDescent="0.25">
      <c r="A7" s="39" t="s">
        <v>138</v>
      </c>
      <c r="B7" s="32" t="str">
        <f>TEXT(B5,"MMM")</f>
        <v>May</v>
      </c>
      <c r="G7" s="36">
        <v>6</v>
      </c>
      <c r="H7" s="37"/>
      <c r="I7" s="37"/>
      <c r="J7" s="37"/>
      <c r="K7" s="37"/>
      <c r="L7" s="38"/>
    </row>
    <row r="8" spans="1:12" x14ac:dyDescent="0.25">
      <c r="A8" s="39" t="s">
        <v>139</v>
      </c>
      <c r="B8" s="32">
        <f>IF(Estimate!F5="",1,Estimate!F5)</f>
        <v>1</v>
      </c>
      <c r="G8" s="36">
        <v>7</v>
      </c>
      <c r="H8" s="37"/>
      <c r="I8" s="37"/>
      <c r="J8" s="37"/>
      <c r="K8" s="37"/>
      <c r="L8" s="38"/>
    </row>
    <row r="9" spans="1:12" x14ac:dyDescent="0.25">
      <c r="A9" s="39" t="s">
        <v>140</v>
      </c>
      <c r="B9" s="42" t="str">
        <f>IF(Estimate!F4="",INDEX(BasicLookupData!O2:O13,MATCH(TEXT(EDATE(B5,-1),"MMM"),BasicLookupData!N2:N13,0)),Estimate!F4)</f>
        <v>Apr - May - Jun</v>
      </c>
      <c r="G9" s="36">
        <v>8</v>
      </c>
      <c r="H9" s="37"/>
      <c r="I9" s="37"/>
      <c r="J9" s="37"/>
      <c r="K9" s="37"/>
      <c r="L9" s="38"/>
    </row>
    <row r="10" spans="1:12" x14ac:dyDescent="0.25">
      <c r="A10" s="39" t="s">
        <v>141</v>
      </c>
      <c r="G10" s="36">
        <v>9</v>
      </c>
      <c r="H10" s="37"/>
      <c r="I10" s="37"/>
      <c r="J10" s="37"/>
      <c r="K10" s="37"/>
      <c r="L10" s="38"/>
    </row>
    <row r="11" spans="1:12" x14ac:dyDescent="0.25">
      <c r="A11" s="39" t="s">
        <v>142</v>
      </c>
      <c r="G11" s="36">
        <v>10</v>
      </c>
      <c r="H11" s="37"/>
      <c r="I11" s="37"/>
      <c r="J11" s="37"/>
      <c r="K11" s="37"/>
      <c r="L11" s="38"/>
    </row>
    <row r="12" spans="1:12" ht="14.25" thickBot="1" x14ac:dyDescent="0.3">
      <c r="G12" s="43">
        <v>11</v>
      </c>
      <c r="H12" s="44"/>
      <c r="I12" s="44"/>
      <c r="J12" s="44"/>
      <c r="K12" s="44"/>
      <c r="L12" s="45"/>
    </row>
    <row r="13" spans="1:12" x14ac:dyDescent="0.25">
      <c r="A13" s="39" t="s">
        <v>143</v>
      </c>
      <c r="B13" s="32">
        <v>1</v>
      </c>
      <c r="G13" s="37"/>
      <c r="H13" s="37"/>
      <c r="I13" s="37"/>
      <c r="J13" s="37"/>
      <c r="K13" s="37"/>
      <c r="L13" s="37"/>
    </row>
    <row r="14" spans="1:12" x14ac:dyDescent="0.25">
      <c r="G14" s="37"/>
      <c r="H14" s="37"/>
      <c r="I14" s="37"/>
      <c r="J14" s="37"/>
      <c r="K14" s="37"/>
      <c r="L14" s="37"/>
    </row>
    <row r="20" spans="1:9" x14ac:dyDescent="0.25">
      <c r="A20" s="31" t="s">
        <v>104</v>
      </c>
      <c r="B20" s="31" t="s">
        <v>144</v>
      </c>
      <c r="C20" s="31" t="s">
        <v>160</v>
      </c>
      <c r="D20" s="31" t="s">
        <v>234</v>
      </c>
      <c r="E20" s="31" t="s">
        <v>235</v>
      </c>
      <c r="F20" s="31" t="s">
        <v>236</v>
      </c>
      <c r="G20" s="31" t="s">
        <v>183</v>
      </c>
      <c r="H20" s="31" t="s">
        <v>184</v>
      </c>
      <c r="I20" s="31" t="s">
        <v>145</v>
      </c>
    </row>
    <row r="21" spans="1:9" x14ac:dyDescent="0.25">
      <c r="A21" s="32">
        <f>IFERROR(INDEX(BasicLookupData!A2:A68,MATCH(E1,BasicLookupData!D2:D68,0)),0)</f>
        <v>0</v>
      </c>
      <c r="B21" s="32">
        <v>18</v>
      </c>
      <c r="C21" s="32" t="s">
        <v>162</v>
      </c>
      <c r="D21" s="32" t="s">
        <v>163</v>
      </c>
      <c r="E21" s="32" t="s">
        <v>164</v>
      </c>
      <c r="F21" s="32" t="s">
        <v>165</v>
      </c>
      <c r="G21" s="53">
        <f>Estimate!F9</f>
        <v>0</v>
      </c>
      <c r="H21" s="46"/>
      <c r="I21" s="46">
        <v>6</v>
      </c>
    </row>
    <row r="22" spans="1:9" x14ac:dyDescent="0.25">
      <c r="A22" s="32">
        <f>A21</f>
        <v>0</v>
      </c>
      <c r="B22" s="32">
        <f>B21</f>
        <v>18</v>
      </c>
      <c r="C22" s="32" t="s">
        <v>162</v>
      </c>
      <c r="D22" s="32" t="s">
        <v>163</v>
      </c>
      <c r="E22" s="32" t="s">
        <v>166</v>
      </c>
      <c r="F22" s="32" t="s">
        <v>1</v>
      </c>
      <c r="G22" s="52">
        <f>Estimate!F14</f>
        <v>0</v>
      </c>
      <c r="I22" s="46">
        <v>6</v>
      </c>
    </row>
    <row r="23" spans="1:9" x14ac:dyDescent="0.25">
      <c r="A23" s="32">
        <f t="shared" ref="A23:A46" si="0">A22</f>
        <v>0</v>
      </c>
      <c r="B23" s="32">
        <f t="shared" ref="B23:B46" si="1">B22</f>
        <v>18</v>
      </c>
      <c r="C23" s="32" t="s">
        <v>162</v>
      </c>
      <c r="D23" s="32" t="s">
        <v>163</v>
      </c>
      <c r="E23" s="32" t="s">
        <v>166</v>
      </c>
      <c r="F23" s="32" t="s">
        <v>12</v>
      </c>
      <c r="G23" s="52">
        <f>Estimate!F15</f>
        <v>0</v>
      </c>
      <c r="I23" s="46">
        <v>6</v>
      </c>
    </row>
    <row r="24" spans="1:9" x14ac:dyDescent="0.25">
      <c r="A24" s="32">
        <f t="shared" si="0"/>
        <v>0</v>
      </c>
      <c r="B24" s="32">
        <f t="shared" si="1"/>
        <v>18</v>
      </c>
      <c r="C24" s="32" t="s">
        <v>162</v>
      </c>
      <c r="D24" s="32" t="s">
        <v>163</v>
      </c>
      <c r="E24" s="32" t="s">
        <v>166</v>
      </c>
      <c r="F24" s="32" t="s">
        <v>13</v>
      </c>
      <c r="G24" s="52">
        <f>Estimate!F16</f>
        <v>0</v>
      </c>
      <c r="I24" s="46">
        <v>6</v>
      </c>
    </row>
    <row r="25" spans="1:9" x14ac:dyDescent="0.25">
      <c r="A25" s="32">
        <f t="shared" si="0"/>
        <v>0</v>
      </c>
      <c r="B25" s="32">
        <f t="shared" si="1"/>
        <v>18</v>
      </c>
      <c r="C25" s="32" t="s">
        <v>162</v>
      </c>
      <c r="D25" s="32" t="s">
        <v>163</v>
      </c>
      <c r="E25" s="32" t="s">
        <v>166</v>
      </c>
      <c r="F25" s="32" t="s">
        <v>167</v>
      </c>
      <c r="G25" s="52">
        <f>Estimate!F18</f>
        <v>0</v>
      </c>
      <c r="H25" s="32" t="str">
        <f>IF(ISBLANK(Estimate!D19),"",Estimate!D19)</f>
        <v/>
      </c>
      <c r="I25" s="46">
        <v>6</v>
      </c>
    </row>
    <row r="26" spans="1:9" x14ac:dyDescent="0.25">
      <c r="A26" s="32">
        <f t="shared" si="0"/>
        <v>0</v>
      </c>
      <c r="B26" s="32">
        <f t="shared" si="1"/>
        <v>18</v>
      </c>
      <c r="C26" s="32" t="s">
        <v>162</v>
      </c>
      <c r="D26" s="32" t="s">
        <v>163</v>
      </c>
      <c r="E26" s="32" t="s">
        <v>2</v>
      </c>
      <c r="F26" s="32" t="s">
        <v>168</v>
      </c>
      <c r="G26" s="52">
        <f>Estimate!F24</f>
        <v>0</v>
      </c>
      <c r="I26" s="46">
        <v>6</v>
      </c>
    </row>
    <row r="27" spans="1:9" x14ac:dyDescent="0.25">
      <c r="A27" s="32">
        <f t="shared" si="0"/>
        <v>0</v>
      </c>
      <c r="B27" s="32">
        <f t="shared" si="1"/>
        <v>18</v>
      </c>
      <c r="C27" s="32" t="s">
        <v>162</v>
      </c>
      <c r="D27" s="32" t="s">
        <v>163</v>
      </c>
      <c r="E27" s="32" t="s">
        <v>2</v>
      </c>
      <c r="F27" s="32" t="s">
        <v>169</v>
      </c>
      <c r="G27" s="52">
        <f>Estimate!F25</f>
        <v>0</v>
      </c>
      <c r="I27" s="46">
        <v>6</v>
      </c>
    </row>
    <row r="28" spans="1:9" x14ac:dyDescent="0.25">
      <c r="A28" s="32">
        <f t="shared" si="0"/>
        <v>0</v>
      </c>
      <c r="B28" s="32">
        <f t="shared" si="1"/>
        <v>18</v>
      </c>
      <c r="C28" s="32" t="s">
        <v>162</v>
      </c>
      <c r="D28" s="32" t="s">
        <v>163</v>
      </c>
      <c r="E28" s="32" t="s">
        <v>2</v>
      </c>
      <c r="F28" s="32" t="s">
        <v>170</v>
      </c>
      <c r="G28" s="52">
        <f>Estimate!F26</f>
        <v>0</v>
      </c>
      <c r="I28" s="46">
        <v>6</v>
      </c>
    </row>
    <row r="29" spans="1:9" x14ac:dyDescent="0.25">
      <c r="A29" s="32">
        <f t="shared" si="0"/>
        <v>0</v>
      </c>
      <c r="B29" s="32">
        <f t="shared" si="1"/>
        <v>18</v>
      </c>
      <c r="C29" s="32" t="s">
        <v>162</v>
      </c>
      <c r="D29" s="32" t="s">
        <v>163</v>
      </c>
      <c r="E29" s="32" t="s">
        <v>2</v>
      </c>
      <c r="F29" s="32" t="s">
        <v>171</v>
      </c>
      <c r="G29" s="52">
        <f>Estimate!F31</f>
        <v>0</v>
      </c>
      <c r="I29" s="46">
        <v>6</v>
      </c>
    </row>
    <row r="30" spans="1:9" x14ac:dyDescent="0.25">
      <c r="A30" s="32">
        <f t="shared" si="0"/>
        <v>0</v>
      </c>
      <c r="B30" s="32">
        <f t="shared" si="1"/>
        <v>18</v>
      </c>
      <c r="C30" s="32" t="s">
        <v>162</v>
      </c>
      <c r="D30" s="32" t="s">
        <v>163</v>
      </c>
      <c r="E30" s="32" t="s">
        <v>2</v>
      </c>
      <c r="F30" s="32" t="s">
        <v>172</v>
      </c>
      <c r="G30" s="52">
        <f>Estimate!F32</f>
        <v>0</v>
      </c>
      <c r="I30" s="46">
        <v>6</v>
      </c>
    </row>
    <row r="31" spans="1:9" x14ac:dyDescent="0.25">
      <c r="A31" s="32">
        <f t="shared" si="0"/>
        <v>0</v>
      </c>
      <c r="B31" s="32">
        <f t="shared" si="1"/>
        <v>18</v>
      </c>
      <c r="C31" s="32" t="s">
        <v>162</v>
      </c>
      <c r="D31" s="32" t="s">
        <v>163</v>
      </c>
      <c r="E31" s="32" t="s">
        <v>2</v>
      </c>
      <c r="F31" s="32" t="s">
        <v>173</v>
      </c>
      <c r="G31" s="52">
        <f>Estimate!F33</f>
        <v>0</v>
      </c>
      <c r="I31" s="46">
        <v>6</v>
      </c>
    </row>
    <row r="32" spans="1:9" x14ac:dyDescent="0.25">
      <c r="A32" s="32">
        <f t="shared" si="0"/>
        <v>0</v>
      </c>
      <c r="B32" s="32">
        <f t="shared" si="1"/>
        <v>18</v>
      </c>
      <c r="C32" s="32" t="s">
        <v>162</v>
      </c>
      <c r="D32" s="32" t="s">
        <v>163</v>
      </c>
      <c r="E32" s="32" t="s">
        <v>2</v>
      </c>
      <c r="F32" s="32" t="s">
        <v>174</v>
      </c>
      <c r="G32" s="52">
        <f>Estimate!F37</f>
        <v>0</v>
      </c>
      <c r="I32" s="46">
        <v>6</v>
      </c>
    </row>
    <row r="33" spans="1:9" x14ac:dyDescent="0.25">
      <c r="A33" s="32">
        <f t="shared" si="0"/>
        <v>0</v>
      </c>
      <c r="B33" s="32">
        <f t="shared" si="1"/>
        <v>18</v>
      </c>
      <c r="C33" s="32" t="s">
        <v>162</v>
      </c>
      <c r="D33" s="32" t="s">
        <v>163</v>
      </c>
      <c r="E33" s="32" t="s">
        <v>2</v>
      </c>
      <c r="F33" s="32" t="s">
        <v>175</v>
      </c>
      <c r="G33" s="52">
        <f>Estimate!F38</f>
        <v>0</v>
      </c>
      <c r="I33" s="46">
        <v>6</v>
      </c>
    </row>
    <row r="34" spans="1:9" x14ac:dyDescent="0.25">
      <c r="A34" s="32">
        <f t="shared" si="0"/>
        <v>0</v>
      </c>
      <c r="B34" s="32">
        <f t="shared" si="1"/>
        <v>18</v>
      </c>
      <c r="C34" s="32" t="s">
        <v>162</v>
      </c>
      <c r="D34" s="32" t="s">
        <v>163</v>
      </c>
      <c r="E34" s="32" t="s">
        <v>2</v>
      </c>
      <c r="F34" s="32" t="s">
        <v>176</v>
      </c>
      <c r="G34" s="52">
        <f>Estimate!F39</f>
        <v>0</v>
      </c>
      <c r="I34" s="46">
        <v>6</v>
      </c>
    </row>
    <row r="35" spans="1:9" x14ac:dyDescent="0.25">
      <c r="A35" s="32">
        <f t="shared" si="0"/>
        <v>0</v>
      </c>
      <c r="B35" s="32">
        <f t="shared" si="1"/>
        <v>18</v>
      </c>
      <c r="C35" s="32" t="s">
        <v>162</v>
      </c>
      <c r="D35" s="32" t="s">
        <v>163</v>
      </c>
      <c r="E35" s="32" t="s">
        <v>2</v>
      </c>
      <c r="F35" s="32" t="s">
        <v>177</v>
      </c>
      <c r="G35" s="52">
        <f>Estimate!F40</f>
        <v>0</v>
      </c>
      <c r="I35" s="46">
        <v>6</v>
      </c>
    </row>
    <row r="36" spans="1:9" x14ac:dyDescent="0.25">
      <c r="A36" s="32">
        <f t="shared" si="0"/>
        <v>0</v>
      </c>
      <c r="B36" s="32">
        <f t="shared" si="1"/>
        <v>18</v>
      </c>
      <c r="C36" s="32" t="s">
        <v>162</v>
      </c>
      <c r="D36" s="32" t="s">
        <v>163</v>
      </c>
      <c r="E36" s="32" t="s">
        <v>2</v>
      </c>
      <c r="F36" s="32" t="s">
        <v>10</v>
      </c>
      <c r="G36" s="52">
        <f>Estimate!F44</f>
        <v>0</v>
      </c>
      <c r="I36" s="46">
        <v>6</v>
      </c>
    </row>
    <row r="37" spans="1:9" x14ac:dyDescent="0.25">
      <c r="A37" s="32">
        <f t="shared" si="0"/>
        <v>0</v>
      </c>
      <c r="B37" s="32">
        <f t="shared" si="1"/>
        <v>18</v>
      </c>
      <c r="C37" s="32" t="s">
        <v>162</v>
      </c>
      <c r="D37" s="32" t="s">
        <v>163</v>
      </c>
      <c r="E37" s="32" t="s">
        <v>178</v>
      </c>
      <c r="F37" s="32" t="s">
        <v>165</v>
      </c>
      <c r="G37" s="52">
        <f>Estimate!F48</f>
        <v>0</v>
      </c>
      <c r="I37" s="46">
        <v>6</v>
      </c>
    </row>
    <row r="38" spans="1:9" x14ac:dyDescent="0.25">
      <c r="A38" s="32">
        <f t="shared" si="0"/>
        <v>0</v>
      </c>
      <c r="B38" s="32">
        <f t="shared" si="1"/>
        <v>18</v>
      </c>
      <c r="C38" s="32" t="s">
        <v>179</v>
      </c>
      <c r="D38" s="32" t="s">
        <v>180</v>
      </c>
      <c r="E38" s="32" t="s">
        <v>181</v>
      </c>
      <c r="F38" s="32" t="s">
        <v>165</v>
      </c>
      <c r="G38" s="52">
        <f>Estimate!F52</f>
        <v>0</v>
      </c>
      <c r="I38" s="46">
        <v>6</v>
      </c>
    </row>
    <row r="39" spans="1:9" x14ac:dyDescent="0.25">
      <c r="A39" s="32">
        <f t="shared" si="0"/>
        <v>0</v>
      </c>
      <c r="B39" s="32">
        <f t="shared" si="1"/>
        <v>18</v>
      </c>
      <c r="C39" s="32" t="s">
        <v>179</v>
      </c>
      <c r="D39" s="32" t="s">
        <v>180</v>
      </c>
      <c r="E39" s="32" t="s">
        <v>182</v>
      </c>
      <c r="F39" s="32" t="s">
        <v>165</v>
      </c>
      <c r="G39" s="52">
        <f>Estimate!F55</f>
        <v>0</v>
      </c>
      <c r="I39" s="46">
        <v>6</v>
      </c>
    </row>
    <row r="40" spans="1:9" x14ac:dyDescent="0.25">
      <c r="A40" s="32">
        <f t="shared" si="0"/>
        <v>0</v>
      </c>
      <c r="B40" s="32">
        <f t="shared" si="1"/>
        <v>18</v>
      </c>
      <c r="C40" s="32" t="s">
        <v>179</v>
      </c>
      <c r="D40" s="32" t="s">
        <v>180</v>
      </c>
      <c r="E40" s="32" t="s">
        <v>194</v>
      </c>
      <c r="F40" s="32" t="s">
        <v>165</v>
      </c>
      <c r="G40" s="52">
        <f>Estimate!F57</f>
        <v>0</v>
      </c>
      <c r="I40" s="46">
        <v>6</v>
      </c>
    </row>
    <row r="41" spans="1:9" x14ac:dyDescent="0.25">
      <c r="A41" s="32">
        <f t="shared" si="0"/>
        <v>0</v>
      </c>
      <c r="B41" s="32">
        <f t="shared" si="1"/>
        <v>18</v>
      </c>
      <c r="C41" s="32" t="s">
        <v>179</v>
      </c>
      <c r="D41" s="32" t="s">
        <v>192</v>
      </c>
      <c r="E41" s="32" t="s">
        <v>237</v>
      </c>
      <c r="F41" s="32" t="s">
        <v>165</v>
      </c>
      <c r="G41" s="52">
        <f>EstimatingTool!E12</f>
        <v>0</v>
      </c>
      <c r="I41" s="46">
        <v>6</v>
      </c>
    </row>
    <row r="42" spans="1:9" x14ac:dyDescent="0.25">
      <c r="A42" s="32">
        <f t="shared" si="0"/>
        <v>0</v>
      </c>
      <c r="B42" s="32">
        <f t="shared" si="1"/>
        <v>18</v>
      </c>
      <c r="C42" s="32" t="s">
        <v>179</v>
      </c>
      <c r="D42" s="32" t="s">
        <v>192</v>
      </c>
      <c r="E42" s="32" t="s">
        <v>238</v>
      </c>
      <c r="F42" s="32" t="s">
        <v>165</v>
      </c>
      <c r="G42" s="52">
        <f>EstimatingTool!E14</f>
        <v>0</v>
      </c>
      <c r="I42" s="46">
        <v>6</v>
      </c>
    </row>
    <row r="43" spans="1:9" x14ac:dyDescent="0.25">
      <c r="A43" s="32">
        <f t="shared" si="0"/>
        <v>0</v>
      </c>
      <c r="B43" s="32">
        <f t="shared" si="1"/>
        <v>18</v>
      </c>
      <c r="C43" s="32" t="s">
        <v>179</v>
      </c>
      <c r="D43" s="32" t="s">
        <v>192</v>
      </c>
      <c r="E43" s="32" t="s">
        <v>239</v>
      </c>
      <c r="F43" s="32" t="s">
        <v>165</v>
      </c>
      <c r="G43" s="52">
        <f>EstimatingTool!E12-EstimatingTool!E14</f>
        <v>0</v>
      </c>
      <c r="I43" s="46">
        <v>6</v>
      </c>
    </row>
    <row r="44" spans="1:9" x14ac:dyDescent="0.25">
      <c r="A44" s="32">
        <f t="shared" si="0"/>
        <v>0</v>
      </c>
      <c r="B44" s="32">
        <f t="shared" si="1"/>
        <v>18</v>
      </c>
      <c r="C44" s="32" t="s">
        <v>179</v>
      </c>
      <c r="D44" s="32" t="s">
        <v>163</v>
      </c>
      <c r="E44" s="32" t="s">
        <v>240</v>
      </c>
      <c r="F44" s="32" t="s">
        <v>165</v>
      </c>
      <c r="G44" s="52">
        <f>EstimatingTool!D19</f>
        <v>0</v>
      </c>
      <c r="I44" s="46">
        <v>6</v>
      </c>
    </row>
    <row r="45" spans="1:9" x14ac:dyDescent="0.25">
      <c r="A45" s="32">
        <f t="shared" si="0"/>
        <v>0</v>
      </c>
      <c r="B45" s="32">
        <f t="shared" si="1"/>
        <v>18</v>
      </c>
      <c r="C45" s="32" t="s">
        <v>162</v>
      </c>
      <c r="D45" s="32" t="s">
        <v>163</v>
      </c>
      <c r="E45" s="32" t="s">
        <v>241</v>
      </c>
      <c r="F45" s="32" t="s">
        <v>165</v>
      </c>
      <c r="G45" s="52">
        <f>EstimatingTool!D20</f>
        <v>0</v>
      </c>
      <c r="I45" s="46">
        <v>6</v>
      </c>
    </row>
    <row r="46" spans="1:9" x14ac:dyDescent="0.25">
      <c r="A46" s="32">
        <f t="shared" si="0"/>
        <v>0</v>
      </c>
      <c r="B46" s="32">
        <f t="shared" si="1"/>
        <v>18</v>
      </c>
      <c r="C46" s="32" t="s">
        <v>162</v>
      </c>
      <c r="D46" s="32" t="s">
        <v>163</v>
      </c>
      <c r="E46" s="32" t="s">
        <v>242</v>
      </c>
      <c r="F46" s="32" t="s">
        <v>165</v>
      </c>
      <c r="G46" s="52">
        <f>EstimatingTool!E20</f>
        <v>0</v>
      </c>
      <c r="I46" s="46">
        <v>6</v>
      </c>
    </row>
    <row r="93" spans="21:22" x14ac:dyDescent="0.25">
      <c r="U93" s="46"/>
    </row>
    <row r="94" spans="21:22" x14ac:dyDescent="0.25">
      <c r="U94" s="46"/>
    </row>
    <row r="95" spans="21:22" x14ac:dyDescent="0.25">
      <c r="U95" s="46"/>
    </row>
    <row r="96" spans="21:22" x14ac:dyDescent="0.25">
      <c r="U96" s="46"/>
      <c r="V96" s="46"/>
    </row>
    <row r="97" spans="21:32" x14ac:dyDescent="0.25">
      <c r="U97" s="46"/>
      <c r="V97" s="46"/>
      <c r="W97" s="46"/>
    </row>
    <row r="98" spans="21:32" x14ac:dyDescent="0.25">
      <c r="U98" s="46"/>
      <c r="V98" s="46"/>
      <c r="W98" s="46"/>
      <c r="X98" s="46"/>
      <c r="Y98" s="46"/>
      <c r="Z98" s="46"/>
      <c r="AA98" s="46"/>
      <c r="AB98" s="46"/>
    </row>
    <row r="99" spans="21:32" x14ac:dyDescent="0.25"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</row>
    <row r="100" spans="21:32" x14ac:dyDescent="0.25"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</row>
    <row r="101" spans="21:32" x14ac:dyDescent="0.25"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</row>
    <row r="102" spans="21:32" x14ac:dyDescent="0.25"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</row>
    <row r="103" spans="21:32" x14ac:dyDescent="0.25"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</row>
    <row r="104" spans="21:32" x14ac:dyDescent="0.25"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</row>
    <row r="105" spans="21:32" x14ac:dyDescent="0.25"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</row>
    <row r="106" spans="21:32" x14ac:dyDescent="0.25"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</row>
    <row r="107" spans="21:32" x14ac:dyDescent="0.25"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</row>
    <row r="108" spans="21:32" x14ac:dyDescent="0.25"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</row>
    <row r="109" spans="21:32" x14ac:dyDescent="0.25"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</row>
    <row r="110" spans="21:32" x14ac:dyDescent="0.25"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</row>
    <row r="111" spans="21:32" x14ac:dyDescent="0.25"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</row>
    <row r="112" spans="21:32" x14ac:dyDescent="0.25"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</row>
    <row r="113" spans="21:33" x14ac:dyDescent="0.25"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</row>
    <row r="178" spans="33:33" x14ac:dyDescent="0.25">
      <c r="AG178" s="47"/>
    </row>
    <row r="179" spans="33:33" x14ac:dyDescent="0.25">
      <c r="AG179" s="47"/>
    </row>
    <row r="180" spans="33:33" x14ac:dyDescent="0.25">
      <c r="AG180" s="47"/>
    </row>
    <row r="181" spans="33:33" x14ac:dyDescent="0.25">
      <c r="AG181" s="47"/>
    </row>
    <row r="182" spans="33:33" x14ac:dyDescent="0.25">
      <c r="AG182" s="47"/>
    </row>
    <row r="183" spans="33:33" x14ac:dyDescent="0.25">
      <c r="AG183" s="47"/>
    </row>
    <row r="184" spans="33:33" x14ac:dyDescent="0.25">
      <c r="AG184" s="47"/>
    </row>
    <row r="185" spans="33:33" x14ac:dyDescent="0.25">
      <c r="AG185" s="47"/>
    </row>
    <row r="186" spans="33:33" x14ac:dyDescent="0.25">
      <c r="AG186" s="47"/>
    </row>
    <row r="187" spans="33:33" x14ac:dyDescent="0.25">
      <c r="AG187" s="47"/>
    </row>
    <row r="188" spans="33:33" x14ac:dyDescent="0.25">
      <c r="AG188" s="47"/>
    </row>
    <row r="189" spans="33:33" x14ac:dyDescent="0.25">
      <c r="AG189" s="47"/>
    </row>
    <row r="190" spans="33:33" x14ac:dyDescent="0.25">
      <c r="AG190" s="47"/>
    </row>
    <row r="191" spans="33:33" x14ac:dyDescent="0.25">
      <c r="AG191" s="47"/>
    </row>
    <row r="192" spans="33:33" x14ac:dyDescent="0.25">
      <c r="AG192" s="47"/>
    </row>
    <row r="193" spans="33:33" x14ac:dyDescent="0.25">
      <c r="AG193" s="47"/>
    </row>
    <row r="194" spans="33:33" x14ac:dyDescent="0.25">
      <c r="AG194" s="4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48"/>
  <sheetViews>
    <sheetView showGridLines="0" view="pageBreakPreview" zoomScaleNormal="90" zoomScaleSheetLayoutView="100" zoomScalePageLayoutView="70" workbookViewId="0">
      <selection activeCell="E12" sqref="E12"/>
    </sheetView>
  </sheetViews>
  <sheetFormatPr defaultColWidth="8.88671875" defaultRowHeight="15.75" x14ac:dyDescent="0.3"/>
  <cols>
    <col min="1" max="1" width="9.109375" style="1" customWidth="1"/>
    <col min="2" max="2" width="20.6640625" style="1" customWidth="1"/>
    <col min="3" max="3" width="48.6640625" style="1" customWidth="1"/>
    <col min="4" max="4" width="17.44140625" style="1" bestFit="1" customWidth="1"/>
    <col min="5" max="6" width="23.6640625" style="1" customWidth="1"/>
    <col min="7" max="7" width="7.44140625" style="1" customWidth="1"/>
    <col min="8" max="16384" width="8.88671875" style="1"/>
  </cols>
  <sheetData>
    <row r="1" spans="1:12" ht="24" x14ac:dyDescent="0.3">
      <c r="A1" s="69" t="s">
        <v>191</v>
      </c>
      <c r="B1" s="66"/>
      <c r="C1" s="66"/>
      <c r="D1" s="66"/>
    </row>
    <row r="2" spans="1:12" ht="16.5" x14ac:dyDescent="0.3">
      <c r="A2" s="339" t="str">
        <f>Estimate!A2</f>
        <v xml:space="preserve"> Form # 4</v>
      </c>
      <c r="B2" s="339"/>
      <c r="C2" s="67"/>
      <c r="D2" s="68"/>
      <c r="G2" s="13"/>
      <c r="H2" s="13"/>
      <c r="I2" s="13"/>
      <c r="J2" s="13"/>
      <c r="K2" s="13"/>
      <c r="L2" s="13"/>
    </row>
    <row r="3" spans="1:12" ht="35.25" customHeight="1" x14ac:dyDescent="0.3">
      <c r="A3" s="351" t="str">
        <f>Estimate!A3</f>
        <v xml:space="preserve"> SFY 19/20: Q3 Apr - May - Jun
 CFY 19/20: Q4 Apr - May - Jun</v>
      </c>
      <c r="B3" s="351"/>
      <c r="C3" s="351"/>
      <c r="D3" s="68"/>
      <c r="E3" s="64"/>
      <c r="F3" s="64"/>
      <c r="G3" s="13"/>
      <c r="H3" s="13"/>
      <c r="I3" s="13"/>
      <c r="J3" s="13"/>
      <c r="K3" s="13"/>
      <c r="L3" s="13"/>
    </row>
    <row r="4" spans="1:12" ht="31.5" customHeight="1" x14ac:dyDescent="0.3">
      <c r="B4" s="15" t="s">
        <v>101</v>
      </c>
      <c r="C4" s="54" t="str">
        <f>IF(ISBLANK(Estimate!D4),"",Estimate!D4)</f>
        <v/>
      </c>
      <c r="D4" s="65"/>
      <c r="F4" s="350" t="str">
        <f>Estimate!H4</f>
        <v>CCOC Form Version 1
Created 02/07/2020</v>
      </c>
      <c r="G4" s="350"/>
      <c r="H4" s="13"/>
      <c r="I4" s="13"/>
      <c r="J4" s="13"/>
      <c r="K4" s="13"/>
      <c r="L4" s="13"/>
    </row>
    <row r="5" spans="1:12" ht="24" customHeight="1" x14ac:dyDescent="0.3">
      <c r="B5" s="13"/>
      <c r="C5" s="13"/>
      <c r="E5" s="15" t="s">
        <v>345</v>
      </c>
      <c r="F5" s="109">
        <f>IFERROR(SUM(INDEX(JuryMgmtBudgetAuthorityLookUp!C3:C69,MATCH(C4,JuryMgmtBudgetAuthorityLookUp!A3:A69,0)),0),0)</f>
        <v>0</v>
      </c>
      <c r="G5" s="13"/>
      <c r="H5" s="13"/>
      <c r="I5" s="13"/>
      <c r="J5" s="13"/>
      <c r="K5" s="13"/>
    </row>
    <row r="6" spans="1:12" ht="21" customHeight="1" x14ac:dyDescent="0.3">
      <c r="B6" s="15" t="s">
        <v>258</v>
      </c>
      <c r="C6" s="54" t="str">
        <f>Estimate!F4</f>
        <v>Apr - May - Jun</v>
      </c>
      <c r="E6" s="267" t="s">
        <v>346</v>
      </c>
      <c r="F6" s="109">
        <f>IFERROR(SUM(INDEX(JuryMgmtBudgetAuthorityLookUp!I3:I69,MATCH(C4,JuryMgmtBudgetAuthorityLookUp!A3:A69,0)),0),0)</f>
        <v>0</v>
      </c>
    </row>
    <row r="7" spans="1:12" ht="22.5" customHeight="1" x14ac:dyDescent="0.3"/>
    <row r="8" spans="1:12" ht="16.5" x14ac:dyDescent="0.3">
      <c r="A8" s="352" t="s">
        <v>257</v>
      </c>
      <c r="B8" s="352"/>
      <c r="C8" s="112" t="s">
        <v>204</v>
      </c>
      <c r="D8" s="112"/>
      <c r="E8" s="112"/>
    </row>
    <row r="9" spans="1:12" ht="16.5" x14ac:dyDescent="0.3">
      <c r="B9" s="55"/>
      <c r="C9" s="55"/>
    </row>
    <row r="10" spans="1:12" ht="16.5" x14ac:dyDescent="0.3">
      <c r="B10" s="55"/>
      <c r="C10" s="56" t="str">
        <f>"Estimating Quarter "&amp;C6&amp;":"</f>
        <v>Estimating Quarter Apr - May - Jun:</v>
      </c>
      <c r="D10" s="18"/>
      <c r="F10" s="109">
        <f>Estimate!F48</f>
        <v>0</v>
      </c>
    </row>
    <row r="11" spans="1:12" ht="16.5" x14ac:dyDescent="0.3">
      <c r="B11" s="104" t="s">
        <v>378</v>
      </c>
      <c r="C11" s="107"/>
      <c r="D11" s="18"/>
      <c r="E11" s="18"/>
    </row>
    <row r="12" spans="1:12" ht="16.5" x14ac:dyDescent="0.3">
      <c r="B12" s="55" t="s">
        <v>195</v>
      </c>
      <c r="C12" s="56" t="s">
        <v>372</v>
      </c>
      <c r="D12" s="18"/>
      <c r="E12" s="109">
        <f>IFERROR(SUM(INDEX(JuryMgmtBudgetAuthorityLookUp!E3:E69,MATCH(C4,JuryMgmtBudgetAuthorityLookUp!A3:A69,0)),0),0)</f>
        <v>0</v>
      </c>
    </row>
    <row r="13" spans="1:12" ht="16.5" x14ac:dyDescent="0.3">
      <c r="B13" s="55"/>
      <c r="C13" s="56" t="s">
        <v>379</v>
      </c>
      <c r="D13" s="18"/>
      <c r="E13" s="109">
        <f>IFERROR(INDEX(JuryMgmtBudgetAuthorityLookUp!$L$3:$L$69,MATCH(C4,JuryMgmtBudgetAuthorityLookUp!A3:A69,0)),0)</f>
        <v>0</v>
      </c>
    </row>
    <row r="14" spans="1:12" ht="16.5" x14ac:dyDescent="0.3">
      <c r="B14" s="55"/>
      <c r="C14" s="285" t="s">
        <v>373</v>
      </c>
      <c r="D14" s="285"/>
      <c r="E14" s="109">
        <f>E12-E13</f>
        <v>0</v>
      </c>
    </row>
    <row r="15" spans="1:12" ht="16.5" x14ac:dyDescent="0.3">
      <c r="B15" s="55"/>
      <c r="C15" s="285"/>
      <c r="D15" s="285"/>
      <c r="E15" s="119" t="str">
        <f>IF(E14=0,"",IF(E14&gt;0,"Under-Expended","(Over)-Expended"))</f>
        <v/>
      </c>
    </row>
    <row r="16" spans="1:12" ht="16.5" x14ac:dyDescent="0.3">
      <c r="B16" s="104" t="s">
        <v>374</v>
      </c>
      <c r="C16" s="107"/>
      <c r="D16" s="18"/>
      <c r="E16" s="18"/>
    </row>
    <row r="17" spans="2:6" ht="16.5" x14ac:dyDescent="0.3">
      <c r="B17" s="55" t="s">
        <v>195</v>
      </c>
      <c r="C17" s="56" t="s">
        <v>375</v>
      </c>
      <c r="D17" s="18"/>
      <c r="E17" s="109">
        <f>IFERROR(INDEX(JuryMgmtBudgetAuthorityLookUp!F3:F69,MATCH(C4,JuryMgmtBudgetAuthorityLookUp!A3:A69,0)),0)</f>
        <v>0</v>
      </c>
    </row>
    <row r="18" spans="2:6" ht="16.5" x14ac:dyDescent="0.3">
      <c r="B18" s="55"/>
      <c r="C18" s="56" t="s">
        <v>376</v>
      </c>
      <c r="D18" s="18"/>
      <c r="E18" s="106"/>
    </row>
    <row r="19" spans="2:6" ht="16.5" x14ac:dyDescent="0.3">
      <c r="B19" s="55"/>
      <c r="C19" s="109" t="s">
        <v>380</v>
      </c>
      <c r="D19" s="105"/>
      <c r="E19" s="106"/>
    </row>
    <row r="20" spans="2:6" ht="16.5" x14ac:dyDescent="0.3">
      <c r="B20" s="55"/>
      <c r="C20" s="109" t="s">
        <v>381</v>
      </c>
      <c r="D20" s="108"/>
      <c r="E20" s="109">
        <f>SUM(D19:D20)</f>
        <v>0</v>
      </c>
    </row>
    <row r="21" spans="2:6" ht="16.5" x14ac:dyDescent="0.3">
      <c r="B21" s="55"/>
      <c r="C21" s="353" t="s">
        <v>377</v>
      </c>
      <c r="D21" s="353"/>
      <c r="E21" s="109">
        <f>E17-E20</f>
        <v>0</v>
      </c>
    </row>
    <row r="22" spans="2:6" ht="16.5" x14ac:dyDescent="0.3">
      <c r="C22" s="285"/>
      <c r="D22" s="285"/>
      <c r="E22" s="119" t="str">
        <f>IF(E21=0,"",IF(E21&gt;0,"Under-Expended","(Over)-Expended"))</f>
        <v/>
      </c>
    </row>
    <row r="23" spans="2:6" ht="16.5" x14ac:dyDescent="0.3">
      <c r="B23" s="104" t="s">
        <v>281</v>
      </c>
      <c r="C23" s="285"/>
      <c r="D23" s="285"/>
      <c r="E23" s="118"/>
    </row>
    <row r="24" spans="2:6" ht="16.5" x14ac:dyDescent="0.3">
      <c r="B24" s="55" t="s">
        <v>195</v>
      </c>
      <c r="C24" s="286" t="s">
        <v>373</v>
      </c>
      <c r="E24" s="109">
        <f>+E14</f>
        <v>0</v>
      </c>
    </row>
    <row r="25" spans="2:6" ht="16.5" x14ac:dyDescent="0.3">
      <c r="B25" s="55" t="s">
        <v>195</v>
      </c>
      <c r="C25" s="355" t="s">
        <v>377</v>
      </c>
      <c r="D25" s="355"/>
      <c r="E25" s="109">
        <f>+E21</f>
        <v>0</v>
      </c>
    </row>
    <row r="26" spans="2:6" ht="16.5" x14ac:dyDescent="0.3">
      <c r="B26" s="55"/>
      <c r="C26" s="353" t="s">
        <v>279</v>
      </c>
      <c r="D26" s="353"/>
      <c r="E26" s="354"/>
      <c r="F26" s="109">
        <f>SUM(E24:E25)</f>
        <v>0</v>
      </c>
    </row>
    <row r="27" spans="2:6" ht="16.5" x14ac:dyDescent="0.3">
      <c r="B27" s="55"/>
      <c r="C27" s="56"/>
      <c r="F27" s="119" t="str">
        <f>IF(F26=0,"",IF(F26&gt;0,"Under-Expended","(Over)-Expended"))</f>
        <v/>
      </c>
    </row>
    <row r="28" spans="2:6" ht="17.25" thickBot="1" x14ac:dyDescent="0.35">
      <c r="B28" s="55"/>
      <c r="C28" s="356" t="s">
        <v>280</v>
      </c>
      <c r="D28" s="356"/>
      <c r="E28" s="357"/>
      <c r="F28" s="110">
        <f>F10-F26</f>
        <v>0</v>
      </c>
    </row>
    <row r="29" spans="2:6" ht="18" thickTop="1" thickBot="1" x14ac:dyDescent="0.35">
      <c r="B29" s="55"/>
      <c r="C29" s="287"/>
      <c r="D29" s="287"/>
      <c r="E29" s="120"/>
      <c r="F29" s="120"/>
    </row>
    <row r="30" spans="2:6" ht="17.25" thickBot="1" x14ac:dyDescent="0.35">
      <c r="B30" s="55"/>
      <c r="C30" s="131" t="s">
        <v>328</v>
      </c>
      <c r="D30" s="132"/>
      <c r="E30" s="132"/>
      <c r="F30" s="133"/>
    </row>
    <row r="31" spans="2:6" ht="16.5" x14ac:dyDescent="0.3">
      <c r="B31" s="55"/>
      <c r="C31" s="358" t="str">
        <f>"Estimating Quarter "&amp;C6&amp;":"</f>
        <v>Estimating Quarter Apr - May - Jun:</v>
      </c>
      <c r="D31" s="359"/>
      <c r="E31" s="359"/>
      <c r="F31" s="125">
        <f>F10</f>
        <v>0</v>
      </c>
    </row>
    <row r="32" spans="2:6" ht="16.5" x14ac:dyDescent="0.3">
      <c r="B32" s="55"/>
      <c r="C32" s="360" t="s">
        <v>282</v>
      </c>
      <c r="D32" s="361"/>
      <c r="E32" s="361"/>
      <c r="F32" s="126"/>
    </row>
    <row r="33" spans="1:7" ht="16.5" x14ac:dyDescent="0.3">
      <c r="B33" s="55"/>
      <c r="C33" s="121"/>
      <c r="D33" s="122"/>
      <c r="E33" s="123"/>
      <c r="F33" s="127" t="str">
        <f>IF(F32=0,"",IF(F32&gt;0,"Under-Expended","(Over)-Expended"))</f>
        <v/>
      </c>
    </row>
    <row r="34" spans="1:7" ht="17.25" thickBot="1" x14ac:dyDescent="0.35">
      <c r="B34" s="55"/>
      <c r="C34" s="128"/>
      <c r="D34" s="129"/>
      <c r="E34" s="130" t="s">
        <v>283</v>
      </c>
      <c r="F34" s="124">
        <f>IF(F32&gt;0,F31-F32,F31-F32)</f>
        <v>0</v>
      </c>
    </row>
    <row r="35" spans="1:7" ht="16.5" thickBot="1" x14ac:dyDescent="0.35">
      <c r="A35" s="92"/>
      <c r="B35" s="92"/>
      <c r="C35" s="92"/>
      <c r="D35" s="92"/>
      <c r="E35" s="92"/>
      <c r="F35" s="92"/>
      <c r="G35" s="92"/>
    </row>
    <row r="36" spans="1:7" ht="16.5" thickBot="1" x14ac:dyDescent="0.35">
      <c r="A36" s="347" t="s">
        <v>243</v>
      </c>
      <c r="B36" s="348"/>
      <c r="C36" s="348"/>
      <c r="D36" s="348"/>
      <c r="E36" s="348"/>
      <c r="F36" s="348"/>
      <c r="G36" s="349"/>
    </row>
    <row r="37" spans="1:7" ht="269.45" customHeight="1" thickBot="1" x14ac:dyDescent="0.35">
      <c r="A37" s="94" t="s">
        <v>243</v>
      </c>
      <c r="B37" s="345"/>
      <c r="C37" s="345"/>
      <c r="D37" s="345"/>
      <c r="E37" s="345"/>
      <c r="F37" s="345"/>
      <c r="G37" s="346"/>
    </row>
    <row r="48" spans="1:7" x14ac:dyDescent="0.3">
      <c r="F48" s="1" t="s">
        <v>195</v>
      </c>
    </row>
  </sheetData>
  <sheetProtection algorithmName="SHA-512" hashValue="Q89No7cK8dbw8fwWs9fXTO8Lqv9WPsysp0gGgu7FS1e8NSvS4YgFA0FFB6Xaw2OJD9WLKYTqQRt/Miw0GYFsbg==" saltValue="1eJPqboVmjqSAgnJPL3xEA==" spinCount="100000" sheet="1" objects="1" scenarios="1" formatColumns="0" formatRows="0"/>
  <mergeCells count="12">
    <mergeCell ref="B37:G37"/>
    <mergeCell ref="A36:G36"/>
    <mergeCell ref="F4:G4"/>
    <mergeCell ref="A2:B2"/>
    <mergeCell ref="A3:C3"/>
    <mergeCell ref="A8:B8"/>
    <mergeCell ref="C21:D21"/>
    <mergeCell ref="C26:E26"/>
    <mergeCell ref="C25:D25"/>
    <mergeCell ref="C28:E28"/>
    <mergeCell ref="C31:E31"/>
    <mergeCell ref="C32:E32"/>
  </mergeCells>
  <dataValidations xWindow="1263" yWindow="622" count="2">
    <dataValidation type="custom" allowBlank="1" showInputMessage="1" showErrorMessage="1" errorTitle="Dollar Amount" error="Must be dollar amount with maximum of 2 decimal places." promptTitle="Actual Expenditures" prompt="Actual Expenditures must be entered here. If no expenditures for the time period, enter &quot;0&quot; and put reason in the Additional Info tab below. Do not leave blank." sqref="D19" xr:uid="{00000000-0002-0000-0100-000000000000}">
      <formula1>D19=ROUND(D19,2)</formula1>
    </dataValidation>
    <dataValidation type="custom" allowBlank="1" showInputMessage="1" showErrorMessage="1" promptTitle="Estimated Actual Expenditures" prompt="Estimated Actual Expenditures must be entered here. If no expenditures for the time period, enter &quot;0&quot; and put reason in the Additional Info tab below. Do not leave blank." sqref="D20" xr:uid="{00000000-0002-0000-0100-000001000000}">
      <formula1>D20=ROUND(D20,2)</formula1>
    </dataValidation>
  </dataValidations>
  <pageMargins left="0.25" right="0.25" top="0.5" bottom="0.5" header="0.25" footer="0.25"/>
  <pageSetup scale="58" orientation="portrait" cellComments="asDisplayed" r:id="rId1"/>
  <headerFooter>
    <oddFooter>&amp;L&amp;"+,Regular"&amp;8&amp;K03+000Page &amp;P of &amp;N&amp;C&amp;"+,Regular"&amp;8&amp;K03+000Printed: &amp;D &amp;T&amp;R&amp;"+,Regular"&amp;8&amp;K03+000&amp;F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263" yWindow="622" count="1">
        <x14:dataValidation type="list" allowBlank="1" showInputMessage="1" showErrorMessage="1" xr:uid="{00000000-0002-0000-0100-000002000000}">
          <x14:formula1>
            <xm:f>BasicLookupData!$H$2:$H$5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DFF4E-E1B2-45E9-B34B-1C83802171D7}">
  <dimension ref="A1:Q73"/>
  <sheetViews>
    <sheetView topLeftCell="A28" workbookViewId="0">
      <selection activeCell="A16" sqref="A16"/>
    </sheetView>
  </sheetViews>
  <sheetFormatPr defaultRowHeight="15.75" x14ac:dyDescent="0.3"/>
  <cols>
    <col min="1" max="1" width="11.6640625" customWidth="1"/>
    <col min="2" max="2" width="8.77734375" bestFit="1" customWidth="1"/>
    <col min="3" max="3" width="13.88671875" bestFit="1" customWidth="1"/>
    <col min="4" max="4" width="1.6640625" customWidth="1"/>
    <col min="5" max="5" width="16.77734375" style="97" customWidth="1"/>
    <col min="6" max="9" width="16.77734375" customWidth="1"/>
    <col min="11" max="14" width="16.77734375" customWidth="1"/>
    <col min="15" max="16" width="16.77734375" style="97" customWidth="1"/>
    <col min="17" max="17" width="16.77734375" customWidth="1"/>
  </cols>
  <sheetData>
    <row r="1" spans="1:17" ht="16.5" thickBot="1" x14ac:dyDescent="0.35">
      <c r="E1" s="97" t="s">
        <v>359</v>
      </c>
      <c r="F1" s="97" t="s">
        <v>360</v>
      </c>
      <c r="G1" s="97" t="s">
        <v>361</v>
      </c>
      <c r="H1" s="97" t="s">
        <v>362</v>
      </c>
      <c r="K1" s="97" t="s">
        <v>368</v>
      </c>
      <c r="L1" s="97" t="s">
        <v>359</v>
      </c>
      <c r="M1" s="97" t="s">
        <v>360</v>
      </c>
      <c r="N1" s="97" t="s">
        <v>361</v>
      </c>
      <c r="O1" s="97" t="s">
        <v>362</v>
      </c>
    </row>
    <row r="2" spans="1:17" ht="75" customHeight="1" thickBot="1" x14ac:dyDescent="0.35">
      <c r="A2" s="282" t="s">
        <v>232</v>
      </c>
      <c r="B2" s="282" t="s">
        <v>104</v>
      </c>
      <c r="C2" s="282" t="s">
        <v>355</v>
      </c>
      <c r="D2" s="283"/>
      <c r="E2" s="303" t="s">
        <v>358</v>
      </c>
      <c r="F2" s="304" t="s">
        <v>358</v>
      </c>
      <c r="G2" s="304" t="s">
        <v>358</v>
      </c>
      <c r="H2" s="305" t="s">
        <v>358</v>
      </c>
      <c r="I2" s="306" t="s">
        <v>363</v>
      </c>
      <c r="K2" s="290" t="s">
        <v>367</v>
      </c>
      <c r="L2" s="315" t="s">
        <v>367</v>
      </c>
      <c r="M2" s="315" t="s">
        <v>367</v>
      </c>
      <c r="N2" s="315" t="s">
        <v>367</v>
      </c>
      <c r="O2" s="316" t="s">
        <v>367</v>
      </c>
      <c r="P2" s="288" t="s">
        <v>370</v>
      </c>
      <c r="Q2" s="318" t="s">
        <v>371</v>
      </c>
    </row>
    <row r="3" spans="1:17" x14ac:dyDescent="0.3">
      <c r="A3" s="276" t="s">
        <v>16</v>
      </c>
      <c r="B3" s="274">
        <v>1</v>
      </c>
      <c r="C3" s="278">
        <v>188518</v>
      </c>
      <c r="E3" s="294">
        <v>54771.44</v>
      </c>
      <c r="F3" s="295">
        <v>48538.62</v>
      </c>
      <c r="G3" s="295"/>
      <c r="H3" s="296"/>
      <c r="I3" s="307">
        <f>SUM(E3:H3)</f>
        <v>103310.06</v>
      </c>
      <c r="K3" s="294">
        <v>50959.34</v>
      </c>
      <c r="L3" s="295">
        <v>48065.66</v>
      </c>
      <c r="M3" s="295"/>
      <c r="N3" s="295"/>
      <c r="O3" s="296"/>
      <c r="P3" s="310">
        <f>SUM(K3:N3)</f>
        <v>99025</v>
      </c>
      <c r="Q3" s="317">
        <f>SUM(L3:O3)</f>
        <v>48065.66</v>
      </c>
    </row>
    <row r="4" spans="1:17" x14ac:dyDescent="0.3">
      <c r="A4" s="276" t="s">
        <v>17</v>
      </c>
      <c r="B4" s="274">
        <v>2</v>
      </c>
      <c r="C4" s="278">
        <v>26927</v>
      </c>
      <c r="E4" s="297">
        <v>15478.56</v>
      </c>
      <c r="F4" s="298">
        <v>542.75</v>
      </c>
      <c r="G4" s="298"/>
      <c r="H4" s="299"/>
      <c r="I4" s="308">
        <f t="shared" ref="I4:I67" si="0">SUM(E4:H4)</f>
        <v>16021.31</v>
      </c>
      <c r="K4" s="297">
        <v>9632.77</v>
      </c>
      <c r="L4" s="298">
        <v>8008.97</v>
      </c>
      <c r="M4" s="298"/>
      <c r="N4" s="298"/>
      <c r="O4" s="299"/>
      <c r="P4" s="311">
        <f t="shared" ref="P4:Q67" si="1">SUM(K4:N4)</f>
        <v>17641.740000000002</v>
      </c>
      <c r="Q4" s="308">
        <f t="shared" si="1"/>
        <v>8008.97</v>
      </c>
    </row>
    <row r="5" spans="1:17" x14ac:dyDescent="0.3">
      <c r="A5" s="276" t="s">
        <v>18</v>
      </c>
      <c r="B5" s="274">
        <v>3</v>
      </c>
      <c r="C5" s="278">
        <v>162224</v>
      </c>
      <c r="E5" s="300">
        <v>13679.49</v>
      </c>
      <c r="F5" s="301">
        <v>36510.85</v>
      </c>
      <c r="G5" s="301"/>
      <c r="H5" s="302"/>
      <c r="I5" s="309">
        <f t="shared" si="0"/>
        <v>50190.34</v>
      </c>
      <c r="K5" s="300">
        <v>47392.35</v>
      </c>
      <c r="L5" s="301">
        <v>40907.85</v>
      </c>
      <c r="M5" s="301"/>
      <c r="N5" s="301"/>
      <c r="O5" s="302"/>
      <c r="P5" s="312">
        <f t="shared" si="1"/>
        <v>88300.2</v>
      </c>
      <c r="Q5" s="309">
        <f t="shared" si="1"/>
        <v>40907.85</v>
      </c>
    </row>
    <row r="6" spans="1:17" x14ac:dyDescent="0.3">
      <c r="A6" s="276" t="s">
        <v>81</v>
      </c>
      <c r="B6" s="274">
        <v>4</v>
      </c>
      <c r="C6" s="278">
        <v>29913</v>
      </c>
      <c r="E6" s="297">
        <v>0</v>
      </c>
      <c r="F6" s="298">
        <v>4802.32</v>
      </c>
      <c r="G6" s="298"/>
      <c r="H6" s="299"/>
      <c r="I6" s="308">
        <f t="shared" si="0"/>
        <v>4802.32</v>
      </c>
      <c r="K6" s="297">
        <v>4986.47</v>
      </c>
      <c r="L6" s="298">
        <v>5152.8899999999994</v>
      </c>
      <c r="M6" s="298"/>
      <c r="N6" s="298"/>
      <c r="O6" s="299"/>
      <c r="P6" s="311">
        <f t="shared" si="1"/>
        <v>10139.36</v>
      </c>
      <c r="Q6" s="308">
        <f t="shared" si="1"/>
        <v>5152.8899999999994</v>
      </c>
    </row>
    <row r="7" spans="1:17" x14ac:dyDescent="0.3">
      <c r="A7" s="276" t="s">
        <v>19</v>
      </c>
      <c r="B7" s="274">
        <v>5</v>
      </c>
      <c r="C7" s="278">
        <v>452522</v>
      </c>
      <c r="E7" s="300">
        <v>78923.77</v>
      </c>
      <c r="F7" s="301">
        <v>143692.85999999999</v>
      </c>
      <c r="G7" s="301"/>
      <c r="H7" s="302"/>
      <c r="I7" s="309">
        <f t="shared" si="0"/>
        <v>222616.63</v>
      </c>
      <c r="K7" s="300">
        <v>126266.95</v>
      </c>
      <c r="L7" s="301">
        <v>119852.16</v>
      </c>
      <c r="M7" s="301"/>
      <c r="N7" s="301"/>
      <c r="O7" s="302"/>
      <c r="P7" s="312">
        <f t="shared" si="1"/>
        <v>246119.11</v>
      </c>
      <c r="Q7" s="309">
        <f t="shared" si="1"/>
        <v>119852.16</v>
      </c>
    </row>
    <row r="8" spans="1:17" x14ac:dyDescent="0.3">
      <c r="A8" s="276" t="s">
        <v>20</v>
      </c>
      <c r="B8" s="274">
        <v>6</v>
      </c>
      <c r="C8" s="278">
        <v>782113</v>
      </c>
      <c r="E8" s="297">
        <v>190996.83</v>
      </c>
      <c r="F8" s="298">
        <v>212715.28</v>
      </c>
      <c r="G8" s="298"/>
      <c r="H8" s="299"/>
      <c r="I8" s="308">
        <f t="shared" si="0"/>
        <v>403712.11</v>
      </c>
      <c r="K8" s="297">
        <v>218326.05</v>
      </c>
      <c r="L8" s="298">
        <v>193905.5</v>
      </c>
      <c r="M8" s="298"/>
      <c r="N8" s="298"/>
      <c r="O8" s="299"/>
      <c r="P8" s="311">
        <f t="shared" si="1"/>
        <v>412231.55</v>
      </c>
      <c r="Q8" s="308">
        <f t="shared" si="1"/>
        <v>193905.5</v>
      </c>
    </row>
    <row r="9" spans="1:17" x14ac:dyDescent="0.3">
      <c r="A9" s="276" t="s">
        <v>21</v>
      </c>
      <c r="B9" s="274">
        <v>7</v>
      </c>
      <c r="C9" s="278">
        <v>9365</v>
      </c>
      <c r="E9" s="300">
        <v>1014.11</v>
      </c>
      <c r="F9" s="301">
        <v>2916.48</v>
      </c>
      <c r="G9" s="301"/>
      <c r="H9" s="302"/>
      <c r="I9" s="309">
        <f t="shared" si="0"/>
        <v>3930.59</v>
      </c>
      <c r="K9" s="300">
        <v>2914.99</v>
      </c>
      <c r="L9" s="301">
        <v>2304.87</v>
      </c>
      <c r="M9" s="301"/>
      <c r="N9" s="301"/>
      <c r="O9" s="302"/>
      <c r="P9" s="312">
        <f t="shared" si="1"/>
        <v>5219.8599999999997</v>
      </c>
      <c r="Q9" s="309">
        <f t="shared" si="1"/>
        <v>2304.87</v>
      </c>
    </row>
    <row r="10" spans="1:17" x14ac:dyDescent="0.3">
      <c r="A10" s="276" t="s">
        <v>22</v>
      </c>
      <c r="B10" s="274">
        <v>8</v>
      </c>
      <c r="C10" s="278">
        <v>146699</v>
      </c>
      <c r="E10" s="297">
        <v>38771.040000000001</v>
      </c>
      <c r="F10" s="298">
        <v>42112.06</v>
      </c>
      <c r="G10" s="298"/>
      <c r="H10" s="299"/>
      <c r="I10" s="308">
        <f t="shared" si="0"/>
        <v>80883.100000000006</v>
      </c>
      <c r="K10" s="297">
        <v>37739.81</v>
      </c>
      <c r="L10" s="298">
        <v>38867.11</v>
      </c>
      <c r="M10" s="298"/>
      <c r="N10" s="298"/>
      <c r="O10" s="299"/>
      <c r="P10" s="311">
        <f t="shared" si="1"/>
        <v>76606.92</v>
      </c>
      <c r="Q10" s="308">
        <f t="shared" si="1"/>
        <v>38867.11</v>
      </c>
    </row>
    <row r="11" spans="1:17" x14ac:dyDescent="0.3">
      <c r="A11" s="276" t="s">
        <v>23</v>
      </c>
      <c r="B11" s="274">
        <v>9</v>
      </c>
      <c r="C11" s="278">
        <v>72561</v>
      </c>
      <c r="E11" s="300">
        <v>15329.46</v>
      </c>
      <c r="F11" s="301">
        <v>11032.49</v>
      </c>
      <c r="G11" s="301"/>
      <c r="H11" s="302"/>
      <c r="I11" s="309">
        <f t="shared" si="0"/>
        <v>26361.949999999997</v>
      </c>
      <c r="K11" s="300">
        <v>17134.259999999998</v>
      </c>
      <c r="L11" s="301">
        <v>17108.849999999999</v>
      </c>
      <c r="M11" s="301"/>
      <c r="N11" s="301"/>
      <c r="O11" s="302"/>
      <c r="P11" s="312">
        <f t="shared" si="1"/>
        <v>34243.11</v>
      </c>
      <c r="Q11" s="309">
        <f t="shared" si="1"/>
        <v>17108.849999999999</v>
      </c>
    </row>
    <row r="12" spans="1:17" x14ac:dyDescent="0.3">
      <c r="A12" s="276" t="s">
        <v>24</v>
      </c>
      <c r="B12" s="274">
        <v>10</v>
      </c>
      <c r="C12" s="278">
        <v>61388</v>
      </c>
      <c r="E12" s="297">
        <v>13238.86</v>
      </c>
      <c r="F12" s="298">
        <v>15248.68</v>
      </c>
      <c r="G12" s="298"/>
      <c r="H12" s="299"/>
      <c r="I12" s="308">
        <f t="shared" si="0"/>
        <v>28487.54</v>
      </c>
      <c r="K12" s="297">
        <v>18181.54</v>
      </c>
      <c r="L12" s="298">
        <v>21048.059999999998</v>
      </c>
      <c r="M12" s="298"/>
      <c r="N12" s="298"/>
      <c r="O12" s="299"/>
      <c r="P12" s="311">
        <f t="shared" si="1"/>
        <v>39229.599999999999</v>
      </c>
      <c r="Q12" s="308">
        <f t="shared" si="1"/>
        <v>21048.059999999998</v>
      </c>
    </row>
    <row r="13" spans="1:17" x14ac:dyDescent="0.3">
      <c r="A13" s="276" t="s">
        <v>25</v>
      </c>
      <c r="B13" s="274">
        <v>11</v>
      </c>
      <c r="C13" s="278">
        <v>227309</v>
      </c>
      <c r="E13" s="300">
        <v>73359.23</v>
      </c>
      <c r="F13" s="301">
        <v>47039.59</v>
      </c>
      <c r="G13" s="301"/>
      <c r="H13" s="302"/>
      <c r="I13" s="309">
        <f t="shared" si="0"/>
        <v>120398.81999999999</v>
      </c>
      <c r="K13" s="300">
        <v>74234.429999999993</v>
      </c>
      <c r="L13" s="301">
        <v>69094.23</v>
      </c>
      <c r="M13" s="301"/>
      <c r="N13" s="301"/>
      <c r="O13" s="302"/>
      <c r="P13" s="312">
        <f t="shared" si="1"/>
        <v>143328.65999999997</v>
      </c>
      <c r="Q13" s="309">
        <f t="shared" si="1"/>
        <v>69094.23</v>
      </c>
    </row>
    <row r="14" spans="1:17" x14ac:dyDescent="0.3">
      <c r="A14" s="276" t="s">
        <v>26</v>
      </c>
      <c r="B14" s="274">
        <v>12</v>
      </c>
      <c r="C14" s="278">
        <v>56184</v>
      </c>
      <c r="E14" s="297">
        <v>11783.92</v>
      </c>
      <c r="F14" s="298">
        <v>2746.49</v>
      </c>
      <c r="G14" s="298"/>
      <c r="H14" s="299"/>
      <c r="I14" s="308">
        <f t="shared" si="0"/>
        <v>14530.41</v>
      </c>
      <c r="K14" s="297">
        <v>14661.86</v>
      </c>
      <c r="L14" s="298">
        <v>0</v>
      </c>
      <c r="M14" s="298"/>
      <c r="N14" s="298"/>
      <c r="O14" s="299"/>
      <c r="P14" s="311">
        <f t="shared" si="1"/>
        <v>14661.86</v>
      </c>
      <c r="Q14" s="308">
        <f t="shared" si="1"/>
        <v>0</v>
      </c>
    </row>
    <row r="15" spans="1:17" x14ac:dyDescent="0.3">
      <c r="A15" s="276" t="s">
        <v>193</v>
      </c>
      <c r="B15" s="274">
        <v>13</v>
      </c>
      <c r="C15" s="278">
        <v>29364</v>
      </c>
      <c r="E15" s="300">
        <v>10936.5</v>
      </c>
      <c r="F15" s="301">
        <v>11006.42</v>
      </c>
      <c r="G15" s="301"/>
      <c r="H15" s="302"/>
      <c r="I15" s="309">
        <f t="shared" si="0"/>
        <v>21942.92</v>
      </c>
      <c r="K15" s="300">
        <v>11878.85</v>
      </c>
      <c r="L15" s="301">
        <v>8774.35</v>
      </c>
      <c r="M15" s="301"/>
      <c r="N15" s="301"/>
      <c r="O15" s="302"/>
      <c r="P15" s="312">
        <f t="shared" si="1"/>
        <v>20653.2</v>
      </c>
      <c r="Q15" s="309">
        <f t="shared" si="1"/>
        <v>8774.35</v>
      </c>
    </row>
    <row r="16" spans="1:17" x14ac:dyDescent="0.3">
      <c r="A16" s="276" t="s">
        <v>28</v>
      </c>
      <c r="B16" s="274">
        <v>14</v>
      </c>
      <c r="C16" s="278">
        <v>12079</v>
      </c>
      <c r="E16" s="297">
        <v>0</v>
      </c>
      <c r="F16" s="298">
        <v>0</v>
      </c>
      <c r="G16" s="298"/>
      <c r="H16" s="299"/>
      <c r="I16" s="308">
        <f t="shared" si="0"/>
        <v>0</v>
      </c>
      <c r="K16" s="297">
        <v>0</v>
      </c>
      <c r="L16" s="298">
        <v>0</v>
      </c>
      <c r="M16" s="298"/>
      <c r="N16" s="298"/>
      <c r="O16" s="299"/>
      <c r="P16" s="311">
        <f t="shared" si="1"/>
        <v>0</v>
      </c>
      <c r="Q16" s="308">
        <f t="shared" si="1"/>
        <v>0</v>
      </c>
    </row>
    <row r="17" spans="1:17" x14ac:dyDescent="0.3">
      <c r="A17" s="276" t="s">
        <v>29</v>
      </c>
      <c r="B17" s="274">
        <v>15</v>
      </c>
      <c r="C17" s="278">
        <v>446743</v>
      </c>
      <c r="E17" s="300">
        <v>104942.92</v>
      </c>
      <c r="F17" s="301">
        <v>130898.04</v>
      </c>
      <c r="G17" s="301"/>
      <c r="H17" s="302"/>
      <c r="I17" s="309">
        <f t="shared" si="0"/>
        <v>235840.96</v>
      </c>
      <c r="K17" s="300">
        <v>107065.19</v>
      </c>
      <c r="L17" s="301">
        <v>129174.36</v>
      </c>
      <c r="M17" s="301"/>
      <c r="N17" s="301"/>
      <c r="O17" s="302"/>
      <c r="P17" s="312">
        <f t="shared" si="1"/>
        <v>236239.55</v>
      </c>
      <c r="Q17" s="309">
        <f t="shared" si="1"/>
        <v>129174.36</v>
      </c>
    </row>
    <row r="18" spans="1:17" x14ac:dyDescent="0.3">
      <c r="A18" s="276" t="s">
        <v>30</v>
      </c>
      <c r="B18" s="274">
        <v>16</v>
      </c>
      <c r="C18" s="278">
        <v>287692</v>
      </c>
      <c r="E18" s="297">
        <v>78742.19</v>
      </c>
      <c r="F18" s="298">
        <v>64076.27</v>
      </c>
      <c r="G18" s="298"/>
      <c r="H18" s="299"/>
      <c r="I18" s="308">
        <f t="shared" si="0"/>
        <v>142818.46</v>
      </c>
      <c r="K18" s="297">
        <v>72326.14</v>
      </c>
      <c r="L18" s="298">
        <v>72123.05</v>
      </c>
      <c r="M18" s="298"/>
      <c r="N18" s="298"/>
      <c r="O18" s="299"/>
      <c r="P18" s="311">
        <f t="shared" si="1"/>
        <v>144449.19</v>
      </c>
      <c r="Q18" s="308">
        <f t="shared" si="1"/>
        <v>72123.05</v>
      </c>
    </row>
    <row r="19" spans="1:17" x14ac:dyDescent="0.3">
      <c r="A19" s="276" t="s">
        <v>31</v>
      </c>
      <c r="B19" s="274">
        <v>17</v>
      </c>
      <c r="C19" s="278">
        <v>62515</v>
      </c>
      <c r="E19" s="300">
        <v>8616.7900000000009</v>
      </c>
      <c r="F19" s="301">
        <v>19305.169999999998</v>
      </c>
      <c r="G19" s="301"/>
      <c r="H19" s="302"/>
      <c r="I19" s="309">
        <f t="shared" si="0"/>
        <v>27921.96</v>
      </c>
      <c r="K19" s="300">
        <v>21357.9</v>
      </c>
      <c r="L19" s="301">
        <v>14734.02</v>
      </c>
      <c r="M19" s="301"/>
      <c r="N19" s="301"/>
      <c r="O19" s="302"/>
      <c r="P19" s="312">
        <f t="shared" si="1"/>
        <v>36091.919999999998</v>
      </c>
      <c r="Q19" s="309">
        <f t="shared" si="1"/>
        <v>14734.02</v>
      </c>
    </row>
    <row r="20" spans="1:17" x14ac:dyDescent="0.3">
      <c r="A20" s="276" t="s">
        <v>32</v>
      </c>
      <c r="B20" s="274">
        <v>18</v>
      </c>
      <c r="C20" s="278">
        <v>15677</v>
      </c>
      <c r="E20" s="297">
        <v>3651.84</v>
      </c>
      <c r="F20" s="298">
        <v>2182.4299999999998</v>
      </c>
      <c r="G20" s="298"/>
      <c r="H20" s="299"/>
      <c r="I20" s="308">
        <f t="shared" si="0"/>
        <v>5834.27</v>
      </c>
      <c r="K20" s="297">
        <v>4432.01</v>
      </c>
      <c r="L20" s="298">
        <v>3679.28</v>
      </c>
      <c r="M20" s="298"/>
      <c r="N20" s="298"/>
      <c r="O20" s="299"/>
      <c r="P20" s="311">
        <f t="shared" si="1"/>
        <v>8111.2900000000009</v>
      </c>
      <c r="Q20" s="308">
        <f t="shared" si="1"/>
        <v>3679.28</v>
      </c>
    </row>
    <row r="21" spans="1:17" x14ac:dyDescent="0.3">
      <c r="A21" s="276" t="s">
        <v>33</v>
      </c>
      <c r="B21" s="274">
        <v>19</v>
      </c>
      <c r="C21" s="278">
        <v>55483</v>
      </c>
      <c r="E21" s="300">
        <v>9602.86</v>
      </c>
      <c r="F21" s="301">
        <v>7205.82</v>
      </c>
      <c r="G21" s="301"/>
      <c r="H21" s="302"/>
      <c r="I21" s="309">
        <f t="shared" si="0"/>
        <v>16808.68</v>
      </c>
      <c r="K21" s="300">
        <v>12941.85</v>
      </c>
      <c r="L21" s="301">
        <v>15428.18</v>
      </c>
      <c r="M21" s="301"/>
      <c r="N21" s="301"/>
      <c r="O21" s="302"/>
      <c r="P21" s="312">
        <f t="shared" si="1"/>
        <v>28370.03</v>
      </c>
      <c r="Q21" s="309">
        <f t="shared" si="1"/>
        <v>15428.18</v>
      </c>
    </row>
    <row r="22" spans="1:17" x14ac:dyDescent="0.3">
      <c r="A22" s="276" t="s">
        <v>34</v>
      </c>
      <c r="B22" s="274">
        <v>20</v>
      </c>
      <c r="C22" s="278">
        <v>8881</v>
      </c>
      <c r="E22" s="297">
        <v>792.61</v>
      </c>
      <c r="F22" s="298">
        <v>3853.62</v>
      </c>
      <c r="G22" s="298"/>
      <c r="H22" s="299"/>
      <c r="I22" s="308">
        <f t="shared" si="0"/>
        <v>4646.2299999999996</v>
      </c>
      <c r="K22" s="297">
        <v>1170.9100000000001</v>
      </c>
      <c r="L22" s="298">
        <v>1534.4899999999998</v>
      </c>
      <c r="M22" s="298"/>
      <c r="N22" s="298"/>
      <c r="O22" s="299"/>
      <c r="P22" s="311">
        <f t="shared" si="1"/>
        <v>2705.3999999999996</v>
      </c>
      <c r="Q22" s="308">
        <f t="shared" si="1"/>
        <v>1534.4899999999998</v>
      </c>
    </row>
    <row r="23" spans="1:17" x14ac:dyDescent="0.3">
      <c r="A23" s="276" t="s">
        <v>35</v>
      </c>
      <c r="B23" s="274">
        <v>21</v>
      </c>
      <c r="C23" s="278">
        <v>20024</v>
      </c>
      <c r="E23" s="300">
        <v>3701.3</v>
      </c>
      <c r="F23" s="301">
        <v>5431.54</v>
      </c>
      <c r="G23" s="301"/>
      <c r="H23" s="302"/>
      <c r="I23" s="309">
        <f t="shared" si="0"/>
        <v>9132.84</v>
      </c>
      <c r="K23" s="300">
        <v>5580.35</v>
      </c>
      <c r="L23" s="301">
        <v>4846.33</v>
      </c>
      <c r="M23" s="301"/>
      <c r="N23" s="301"/>
      <c r="O23" s="302"/>
      <c r="P23" s="312">
        <f t="shared" si="1"/>
        <v>10426.68</v>
      </c>
      <c r="Q23" s="309">
        <f t="shared" si="1"/>
        <v>4846.33</v>
      </c>
    </row>
    <row r="24" spans="1:17" x14ac:dyDescent="0.3">
      <c r="A24" s="276" t="s">
        <v>36</v>
      </c>
      <c r="B24" s="274">
        <v>22</v>
      </c>
      <c r="C24" s="278">
        <v>20249</v>
      </c>
      <c r="E24" s="297">
        <v>3570.03</v>
      </c>
      <c r="F24" s="298">
        <v>5019.59</v>
      </c>
      <c r="G24" s="298"/>
      <c r="H24" s="299"/>
      <c r="I24" s="308">
        <f t="shared" si="0"/>
        <v>8589.6200000000008</v>
      </c>
      <c r="K24" s="297">
        <v>5331.82</v>
      </c>
      <c r="L24" s="298">
        <v>4433.6000000000004</v>
      </c>
      <c r="M24" s="298"/>
      <c r="N24" s="298"/>
      <c r="O24" s="299"/>
      <c r="P24" s="311">
        <f t="shared" si="1"/>
        <v>9765.42</v>
      </c>
      <c r="Q24" s="308">
        <f t="shared" si="1"/>
        <v>4433.6000000000004</v>
      </c>
    </row>
    <row r="25" spans="1:17" x14ac:dyDescent="0.3">
      <c r="A25" s="276" t="s">
        <v>37</v>
      </c>
      <c r="B25" s="274">
        <v>23</v>
      </c>
      <c r="C25" s="278">
        <v>14689</v>
      </c>
      <c r="E25" s="300">
        <v>5873.4</v>
      </c>
      <c r="F25" s="301">
        <v>0</v>
      </c>
      <c r="G25" s="301"/>
      <c r="H25" s="302"/>
      <c r="I25" s="309">
        <f t="shared" si="0"/>
        <v>5873.4</v>
      </c>
      <c r="K25" s="300">
        <v>2054.92</v>
      </c>
      <c r="L25" s="301">
        <v>4601.53</v>
      </c>
      <c r="M25" s="301"/>
      <c r="N25" s="301"/>
      <c r="O25" s="302"/>
      <c r="P25" s="312">
        <f t="shared" si="1"/>
        <v>6656.45</v>
      </c>
      <c r="Q25" s="309">
        <f t="shared" si="1"/>
        <v>4601.53</v>
      </c>
    </row>
    <row r="26" spans="1:17" x14ac:dyDescent="0.3">
      <c r="A26" s="276" t="s">
        <v>38</v>
      </c>
      <c r="B26" s="274">
        <v>24</v>
      </c>
      <c r="C26" s="278">
        <v>31561</v>
      </c>
      <c r="E26" s="297">
        <v>9257.7099999999991</v>
      </c>
      <c r="F26" s="298">
        <v>14107.34</v>
      </c>
      <c r="G26" s="298"/>
      <c r="H26" s="299"/>
      <c r="I26" s="308">
        <f t="shared" si="0"/>
        <v>23365.05</v>
      </c>
      <c r="K26" s="297">
        <v>11208.82</v>
      </c>
      <c r="L26" s="298">
        <v>10456.66</v>
      </c>
      <c r="M26" s="298"/>
      <c r="N26" s="298"/>
      <c r="O26" s="299"/>
      <c r="P26" s="311">
        <f t="shared" si="1"/>
        <v>21665.48</v>
      </c>
      <c r="Q26" s="308">
        <f t="shared" si="1"/>
        <v>10456.66</v>
      </c>
    </row>
    <row r="27" spans="1:17" x14ac:dyDescent="0.3">
      <c r="A27" s="276" t="s">
        <v>39</v>
      </c>
      <c r="B27" s="274">
        <v>25</v>
      </c>
      <c r="C27" s="278">
        <v>54383</v>
      </c>
      <c r="E27" s="300">
        <v>17872.37</v>
      </c>
      <c r="F27" s="301">
        <v>12428.86</v>
      </c>
      <c r="G27" s="301"/>
      <c r="H27" s="302"/>
      <c r="I27" s="309">
        <f t="shared" si="0"/>
        <v>30301.23</v>
      </c>
      <c r="K27" s="300">
        <v>13333.92</v>
      </c>
      <c r="L27" s="301">
        <v>13739.71</v>
      </c>
      <c r="M27" s="301"/>
      <c r="N27" s="301"/>
      <c r="O27" s="302"/>
      <c r="P27" s="312">
        <f t="shared" si="1"/>
        <v>27073.629999999997</v>
      </c>
      <c r="Q27" s="309">
        <f t="shared" si="1"/>
        <v>13739.71</v>
      </c>
    </row>
    <row r="28" spans="1:17" x14ac:dyDescent="0.3">
      <c r="A28" s="276" t="s">
        <v>40</v>
      </c>
      <c r="B28" s="274">
        <v>26</v>
      </c>
      <c r="C28" s="278">
        <v>152904</v>
      </c>
      <c r="E28" s="297">
        <v>42379.39</v>
      </c>
      <c r="F28" s="298">
        <v>30347.59</v>
      </c>
      <c r="G28" s="298"/>
      <c r="H28" s="299"/>
      <c r="I28" s="308">
        <f t="shared" si="0"/>
        <v>72726.98</v>
      </c>
      <c r="K28" s="297">
        <v>44646.080000000002</v>
      </c>
      <c r="L28" s="298">
        <v>34283.68</v>
      </c>
      <c r="M28" s="298"/>
      <c r="N28" s="298"/>
      <c r="O28" s="299"/>
      <c r="P28" s="311">
        <f t="shared" si="1"/>
        <v>78929.760000000009</v>
      </c>
      <c r="Q28" s="308">
        <f t="shared" si="1"/>
        <v>34283.68</v>
      </c>
    </row>
    <row r="29" spans="1:17" x14ac:dyDescent="0.3">
      <c r="A29" s="276" t="s">
        <v>41</v>
      </c>
      <c r="B29" s="274">
        <v>27</v>
      </c>
      <c r="C29" s="278">
        <v>89064</v>
      </c>
      <c r="E29" s="300">
        <v>28333.53</v>
      </c>
      <c r="F29" s="301">
        <v>19761.93</v>
      </c>
      <c r="G29" s="301"/>
      <c r="H29" s="302"/>
      <c r="I29" s="309">
        <f t="shared" si="0"/>
        <v>48095.46</v>
      </c>
      <c r="K29" s="300">
        <v>24736.95</v>
      </c>
      <c r="L29" s="301">
        <v>21044.53</v>
      </c>
      <c r="M29" s="301"/>
      <c r="N29" s="301"/>
      <c r="O29" s="302"/>
      <c r="P29" s="312">
        <f t="shared" si="1"/>
        <v>45781.479999999996</v>
      </c>
      <c r="Q29" s="309">
        <f t="shared" si="1"/>
        <v>21044.53</v>
      </c>
    </row>
    <row r="30" spans="1:17" x14ac:dyDescent="0.3">
      <c r="A30" s="276" t="s">
        <v>42</v>
      </c>
      <c r="B30" s="274">
        <v>28</v>
      </c>
      <c r="C30" s="278">
        <v>488729</v>
      </c>
      <c r="E30" s="297">
        <v>94615.56</v>
      </c>
      <c r="F30" s="298">
        <v>142636.48000000001</v>
      </c>
      <c r="G30" s="298"/>
      <c r="H30" s="299"/>
      <c r="I30" s="308">
        <f t="shared" si="0"/>
        <v>237252.04</v>
      </c>
      <c r="K30" s="297">
        <v>132345</v>
      </c>
      <c r="L30" s="298">
        <v>113652</v>
      </c>
      <c r="M30" s="298"/>
      <c r="N30" s="298"/>
      <c r="O30" s="299"/>
      <c r="P30" s="311">
        <f t="shared" si="1"/>
        <v>245997</v>
      </c>
      <c r="Q30" s="308">
        <f t="shared" si="1"/>
        <v>113652</v>
      </c>
    </row>
    <row r="31" spans="1:17" x14ac:dyDescent="0.3">
      <c r="A31" s="276" t="s">
        <v>43</v>
      </c>
      <c r="B31" s="274">
        <v>29</v>
      </c>
      <c r="C31" s="278">
        <v>16766</v>
      </c>
      <c r="E31" s="300">
        <v>0</v>
      </c>
      <c r="F31" s="301">
        <v>9250.7099999999991</v>
      </c>
      <c r="G31" s="301"/>
      <c r="H31" s="302"/>
      <c r="I31" s="309">
        <f t="shared" si="0"/>
        <v>9250.7099999999991</v>
      </c>
      <c r="K31" s="300">
        <v>6226.55</v>
      </c>
      <c r="L31" s="301">
        <v>4304.75</v>
      </c>
      <c r="M31" s="301"/>
      <c r="N31" s="301"/>
      <c r="O31" s="302"/>
      <c r="P31" s="312">
        <f t="shared" si="1"/>
        <v>10531.3</v>
      </c>
      <c r="Q31" s="309">
        <f t="shared" si="1"/>
        <v>4304.75</v>
      </c>
    </row>
    <row r="32" spans="1:17" x14ac:dyDescent="0.3">
      <c r="A32" s="276" t="s">
        <v>44</v>
      </c>
      <c r="B32" s="274">
        <v>30</v>
      </c>
      <c r="C32" s="278">
        <v>165690</v>
      </c>
      <c r="E32" s="297">
        <v>38907.01</v>
      </c>
      <c r="F32" s="298">
        <v>29708.28</v>
      </c>
      <c r="G32" s="298"/>
      <c r="H32" s="299"/>
      <c r="I32" s="308">
        <f t="shared" si="0"/>
        <v>68615.290000000008</v>
      </c>
      <c r="K32" s="297">
        <v>71911.710000000006</v>
      </c>
      <c r="L32" s="298">
        <v>45125.869999999995</v>
      </c>
      <c r="M32" s="298"/>
      <c r="N32" s="298"/>
      <c r="O32" s="299"/>
      <c r="P32" s="311">
        <f t="shared" si="1"/>
        <v>117037.58</v>
      </c>
      <c r="Q32" s="308">
        <f t="shared" si="1"/>
        <v>45125.869999999995</v>
      </c>
    </row>
    <row r="33" spans="1:17" x14ac:dyDescent="0.3">
      <c r="A33" s="276" t="s">
        <v>45</v>
      </c>
      <c r="B33" s="274">
        <v>31</v>
      </c>
      <c r="C33" s="278">
        <v>25891</v>
      </c>
      <c r="E33" s="300">
        <v>9836.8700000000008</v>
      </c>
      <c r="F33" s="301">
        <v>9820.26</v>
      </c>
      <c r="G33" s="301"/>
      <c r="H33" s="302"/>
      <c r="I33" s="309">
        <f t="shared" si="0"/>
        <v>19657.13</v>
      </c>
      <c r="K33" s="300">
        <v>11306.22</v>
      </c>
      <c r="L33" s="301">
        <v>9000.0400000000009</v>
      </c>
      <c r="M33" s="301"/>
      <c r="N33" s="301"/>
      <c r="O33" s="302"/>
      <c r="P33" s="312">
        <f t="shared" si="1"/>
        <v>20306.260000000002</v>
      </c>
      <c r="Q33" s="309">
        <f t="shared" si="1"/>
        <v>9000.0400000000009</v>
      </c>
    </row>
    <row r="34" spans="1:17" x14ac:dyDescent="0.3">
      <c r="A34" s="276" t="s">
        <v>46</v>
      </c>
      <c r="B34" s="274">
        <v>32</v>
      </c>
      <c r="C34" s="278">
        <v>34274</v>
      </c>
      <c r="E34" s="297">
        <v>4663.83</v>
      </c>
      <c r="F34" s="298">
        <v>9581.44</v>
      </c>
      <c r="G34" s="298"/>
      <c r="H34" s="299"/>
      <c r="I34" s="308">
        <f t="shared" si="0"/>
        <v>14245.27</v>
      </c>
      <c r="K34" s="297">
        <v>10398.780000000001</v>
      </c>
      <c r="L34" s="298">
        <v>8824.14</v>
      </c>
      <c r="M34" s="298"/>
      <c r="N34" s="298"/>
      <c r="O34" s="299"/>
      <c r="P34" s="311">
        <f t="shared" si="1"/>
        <v>19222.919999999998</v>
      </c>
      <c r="Q34" s="308">
        <f t="shared" si="1"/>
        <v>8824.14</v>
      </c>
    </row>
    <row r="35" spans="1:17" x14ac:dyDescent="0.3">
      <c r="A35" s="276" t="s">
        <v>47</v>
      </c>
      <c r="B35" s="274">
        <v>33</v>
      </c>
      <c r="C35" s="278">
        <v>4882</v>
      </c>
      <c r="E35" s="300">
        <v>3896.75</v>
      </c>
      <c r="F35" s="301">
        <v>2138.4699999999998</v>
      </c>
      <c r="G35" s="301"/>
      <c r="H35" s="302"/>
      <c r="I35" s="309">
        <f t="shared" si="0"/>
        <v>6035.2199999999993</v>
      </c>
      <c r="K35" s="300">
        <v>4112.09</v>
      </c>
      <c r="L35" s="301">
        <v>451.46</v>
      </c>
      <c r="M35" s="301"/>
      <c r="N35" s="301"/>
      <c r="O35" s="302"/>
      <c r="P35" s="312">
        <f t="shared" si="1"/>
        <v>4563.55</v>
      </c>
      <c r="Q35" s="309">
        <f t="shared" si="1"/>
        <v>451.46</v>
      </c>
    </row>
    <row r="36" spans="1:17" x14ac:dyDescent="0.3">
      <c r="A36" s="276" t="s">
        <v>48</v>
      </c>
      <c r="B36" s="274">
        <v>34</v>
      </c>
      <c r="C36" s="278">
        <v>213781</v>
      </c>
      <c r="E36" s="297">
        <v>58827.93</v>
      </c>
      <c r="F36" s="298">
        <v>63623.37</v>
      </c>
      <c r="G36" s="298"/>
      <c r="H36" s="299"/>
      <c r="I36" s="308">
        <f t="shared" si="0"/>
        <v>122451.3</v>
      </c>
      <c r="K36" s="297">
        <v>59604.58</v>
      </c>
      <c r="L36" s="298">
        <v>49531.87000000001</v>
      </c>
      <c r="M36" s="298"/>
      <c r="N36" s="298"/>
      <c r="O36" s="299"/>
      <c r="P36" s="311">
        <f t="shared" si="1"/>
        <v>109136.45000000001</v>
      </c>
      <c r="Q36" s="308">
        <f t="shared" si="1"/>
        <v>49531.87000000001</v>
      </c>
    </row>
    <row r="37" spans="1:17" x14ac:dyDescent="0.3">
      <c r="A37" s="276" t="s">
        <v>49</v>
      </c>
      <c r="B37" s="274">
        <v>35</v>
      </c>
      <c r="C37" s="278">
        <v>252682</v>
      </c>
      <c r="E37" s="300">
        <v>115279.5</v>
      </c>
      <c r="F37" s="301">
        <v>34560.21</v>
      </c>
      <c r="G37" s="301"/>
      <c r="H37" s="302"/>
      <c r="I37" s="309">
        <f t="shared" si="0"/>
        <v>149839.71</v>
      </c>
      <c r="K37" s="300">
        <v>84449.42</v>
      </c>
      <c r="L37" s="301">
        <v>69107.31</v>
      </c>
      <c r="M37" s="301"/>
      <c r="N37" s="301"/>
      <c r="O37" s="302"/>
      <c r="P37" s="312">
        <f t="shared" si="1"/>
        <v>153556.72999999998</v>
      </c>
      <c r="Q37" s="309">
        <f t="shared" si="1"/>
        <v>69107.31</v>
      </c>
    </row>
    <row r="38" spans="1:17" x14ac:dyDescent="0.3">
      <c r="A38" s="276" t="s">
        <v>50</v>
      </c>
      <c r="B38" s="274">
        <v>36</v>
      </c>
      <c r="C38" s="278">
        <v>256531</v>
      </c>
      <c r="E38" s="297">
        <v>31822.13</v>
      </c>
      <c r="F38" s="298">
        <v>56462.95</v>
      </c>
      <c r="G38" s="298"/>
      <c r="H38" s="299"/>
      <c r="I38" s="308">
        <f t="shared" si="0"/>
        <v>88285.08</v>
      </c>
      <c r="K38" s="297">
        <v>54164.06</v>
      </c>
      <c r="L38" s="298">
        <v>33883.86</v>
      </c>
      <c r="M38" s="298"/>
      <c r="N38" s="298"/>
      <c r="O38" s="299"/>
      <c r="P38" s="311">
        <f t="shared" si="1"/>
        <v>88047.92</v>
      </c>
      <c r="Q38" s="308">
        <f t="shared" si="1"/>
        <v>33883.86</v>
      </c>
    </row>
    <row r="39" spans="1:17" x14ac:dyDescent="0.3">
      <c r="A39" s="276" t="s">
        <v>51</v>
      </c>
      <c r="B39" s="274">
        <v>37</v>
      </c>
      <c r="C39" s="278">
        <v>66273</v>
      </c>
      <c r="E39" s="300">
        <v>11539.34</v>
      </c>
      <c r="F39" s="301">
        <v>10293.620000000001</v>
      </c>
      <c r="G39" s="301"/>
      <c r="H39" s="302"/>
      <c r="I39" s="309">
        <f t="shared" si="0"/>
        <v>21832.959999999999</v>
      </c>
      <c r="K39" s="300">
        <v>14678.54</v>
      </c>
      <c r="L39" s="301">
        <v>0</v>
      </c>
      <c r="M39" s="301"/>
      <c r="N39" s="301"/>
      <c r="O39" s="302"/>
      <c r="P39" s="312">
        <f t="shared" si="1"/>
        <v>14678.54</v>
      </c>
      <c r="Q39" s="309">
        <f t="shared" si="1"/>
        <v>0</v>
      </c>
    </row>
    <row r="40" spans="1:17" x14ac:dyDescent="0.3">
      <c r="A40" s="276" t="s">
        <v>52</v>
      </c>
      <c r="B40" s="274">
        <v>38</v>
      </c>
      <c r="C40" s="278">
        <v>10272</v>
      </c>
      <c r="E40" s="297">
        <v>3308.28</v>
      </c>
      <c r="F40" s="298">
        <v>2393.5500000000002</v>
      </c>
      <c r="G40" s="298"/>
      <c r="H40" s="299"/>
      <c r="I40" s="308">
        <f t="shared" si="0"/>
        <v>5701.83</v>
      </c>
      <c r="K40" s="297">
        <v>2531.1</v>
      </c>
      <c r="L40" s="298">
        <v>2981.82</v>
      </c>
      <c r="M40" s="298"/>
      <c r="N40" s="298"/>
      <c r="O40" s="299"/>
      <c r="P40" s="311">
        <f t="shared" si="1"/>
        <v>5512.92</v>
      </c>
      <c r="Q40" s="308">
        <f t="shared" si="1"/>
        <v>2981.82</v>
      </c>
    </row>
    <row r="41" spans="1:17" x14ac:dyDescent="0.3">
      <c r="A41" s="276" t="s">
        <v>53</v>
      </c>
      <c r="B41" s="274">
        <v>39</v>
      </c>
      <c r="C41" s="278">
        <v>12334</v>
      </c>
      <c r="E41" s="300">
        <v>6658.86</v>
      </c>
      <c r="F41" s="301">
        <v>2426.4</v>
      </c>
      <c r="G41" s="301"/>
      <c r="H41" s="302"/>
      <c r="I41" s="309">
        <f t="shared" si="0"/>
        <v>9085.26</v>
      </c>
      <c r="K41" s="300">
        <v>2800.58</v>
      </c>
      <c r="L41" s="301">
        <v>3602.5299999999997</v>
      </c>
      <c r="M41" s="301"/>
      <c r="N41" s="301"/>
      <c r="O41" s="302"/>
      <c r="P41" s="312">
        <f t="shared" si="1"/>
        <v>6403.11</v>
      </c>
      <c r="Q41" s="309">
        <f t="shared" si="1"/>
        <v>3602.5299999999997</v>
      </c>
    </row>
    <row r="42" spans="1:17" x14ac:dyDescent="0.3">
      <c r="A42" s="276" t="s">
        <v>54</v>
      </c>
      <c r="B42" s="274">
        <v>40</v>
      </c>
      <c r="C42" s="278">
        <v>144127</v>
      </c>
      <c r="E42" s="297">
        <v>30452.36</v>
      </c>
      <c r="F42" s="298">
        <v>29874.41</v>
      </c>
      <c r="G42" s="298"/>
      <c r="H42" s="299"/>
      <c r="I42" s="308">
        <f t="shared" si="0"/>
        <v>60326.770000000004</v>
      </c>
      <c r="K42" s="297">
        <v>36204.300000000003</v>
      </c>
      <c r="L42" s="298">
        <v>30596.120000000003</v>
      </c>
      <c r="M42" s="298"/>
      <c r="N42" s="298"/>
      <c r="O42" s="299"/>
      <c r="P42" s="311">
        <f t="shared" si="1"/>
        <v>66800.420000000013</v>
      </c>
      <c r="Q42" s="308">
        <f t="shared" si="1"/>
        <v>30596.120000000003</v>
      </c>
    </row>
    <row r="43" spans="1:17" x14ac:dyDescent="0.3">
      <c r="A43" s="276" t="s">
        <v>55</v>
      </c>
      <c r="B43" s="274">
        <v>41</v>
      </c>
      <c r="C43" s="278">
        <v>215981</v>
      </c>
      <c r="E43" s="300">
        <v>55386.55</v>
      </c>
      <c r="F43" s="301">
        <v>13941.21</v>
      </c>
      <c r="G43" s="301"/>
      <c r="H43" s="302"/>
      <c r="I43" s="309">
        <f t="shared" si="0"/>
        <v>69327.760000000009</v>
      </c>
      <c r="K43" s="300">
        <v>60162.3</v>
      </c>
      <c r="L43" s="301">
        <v>42713.56</v>
      </c>
      <c r="M43" s="301"/>
      <c r="N43" s="301"/>
      <c r="O43" s="302"/>
      <c r="P43" s="312">
        <f t="shared" si="1"/>
        <v>102875.86</v>
      </c>
      <c r="Q43" s="309">
        <f t="shared" si="1"/>
        <v>42713.56</v>
      </c>
    </row>
    <row r="44" spans="1:17" x14ac:dyDescent="0.3">
      <c r="A44" s="276" t="s">
        <v>56</v>
      </c>
      <c r="B44" s="274">
        <v>42</v>
      </c>
      <c r="C44" s="278">
        <v>144910</v>
      </c>
      <c r="E44" s="297">
        <v>38298.28</v>
      </c>
      <c r="F44" s="298">
        <v>39555.129999999997</v>
      </c>
      <c r="G44" s="298"/>
      <c r="H44" s="299"/>
      <c r="I44" s="308">
        <f t="shared" si="0"/>
        <v>77853.41</v>
      </c>
      <c r="K44" s="297">
        <v>39703.910000000003</v>
      </c>
      <c r="L44" s="298">
        <v>49254.490000000005</v>
      </c>
      <c r="M44" s="298"/>
      <c r="N44" s="298"/>
      <c r="O44" s="299"/>
      <c r="P44" s="311">
        <f t="shared" si="1"/>
        <v>88958.400000000009</v>
      </c>
      <c r="Q44" s="308">
        <f t="shared" si="1"/>
        <v>49254.490000000005</v>
      </c>
    </row>
    <row r="45" spans="1:17" x14ac:dyDescent="0.3">
      <c r="A45" s="276" t="s">
        <v>109</v>
      </c>
      <c r="B45" s="274">
        <v>43</v>
      </c>
      <c r="C45" s="278">
        <v>1052725</v>
      </c>
      <c r="E45" s="300">
        <v>309370.03999999998</v>
      </c>
      <c r="F45" s="301">
        <v>379748.32999999996</v>
      </c>
      <c r="G45" s="301"/>
      <c r="H45" s="302"/>
      <c r="I45" s="309">
        <f t="shared" si="0"/>
        <v>689118.36999999988</v>
      </c>
      <c r="K45" s="300">
        <v>374457.58</v>
      </c>
      <c r="L45" s="301">
        <v>333096.74</v>
      </c>
      <c r="M45" s="301"/>
      <c r="N45" s="301"/>
      <c r="O45" s="302"/>
      <c r="P45" s="312">
        <f t="shared" si="1"/>
        <v>707554.32000000007</v>
      </c>
      <c r="Q45" s="309">
        <f t="shared" si="1"/>
        <v>333096.74</v>
      </c>
    </row>
    <row r="46" spans="1:17" x14ac:dyDescent="0.3">
      <c r="A46" s="276" t="s">
        <v>57</v>
      </c>
      <c r="B46" s="274">
        <v>44</v>
      </c>
      <c r="C46" s="278">
        <v>134323</v>
      </c>
      <c r="E46" s="297">
        <v>39973.760000000002</v>
      </c>
      <c r="F46" s="298">
        <v>0</v>
      </c>
      <c r="G46" s="298"/>
      <c r="H46" s="299"/>
      <c r="I46" s="308">
        <f t="shared" si="0"/>
        <v>39973.760000000002</v>
      </c>
      <c r="K46" s="297">
        <v>29626.82</v>
      </c>
      <c r="L46" s="298">
        <v>25936.959999999999</v>
      </c>
      <c r="M46" s="298"/>
      <c r="N46" s="298"/>
      <c r="O46" s="299"/>
      <c r="P46" s="311">
        <f t="shared" si="1"/>
        <v>55563.78</v>
      </c>
      <c r="Q46" s="308">
        <f t="shared" si="1"/>
        <v>25936.959999999999</v>
      </c>
    </row>
    <row r="47" spans="1:17" x14ac:dyDescent="0.3">
      <c r="A47" s="276" t="s">
        <v>58</v>
      </c>
      <c r="B47" s="274">
        <v>45</v>
      </c>
      <c r="C47" s="278">
        <v>68428</v>
      </c>
      <c r="E47" s="300">
        <v>15551.31</v>
      </c>
      <c r="F47" s="301">
        <v>11113.67</v>
      </c>
      <c r="G47" s="301"/>
      <c r="H47" s="302"/>
      <c r="I47" s="309">
        <f t="shared" si="0"/>
        <v>26664.98</v>
      </c>
      <c r="K47" s="300">
        <v>21227.78</v>
      </c>
      <c r="L47" s="301">
        <v>15915.26</v>
      </c>
      <c r="M47" s="301"/>
      <c r="N47" s="301"/>
      <c r="O47" s="302"/>
      <c r="P47" s="312">
        <f t="shared" si="1"/>
        <v>37143.040000000001</v>
      </c>
      <c r="Q47" s="309">
        <f t="shared" si="1"/>
        <v>15915.26</v>
      </c>
    </row>
    <row r="48" spans="1:17" x14ac:dyDescent="0.3">
      <c r="A48" s="276" t="s">
        <v>59</v>
      </c>
      <c r="B48" s="274">
        <v>46</v>
      </c>
      <c r="C48" s="278">
        <v>95229</v>
      </c>
      <c r="E48" s="297">
        <v>24646.14</v>
      </c>
      <c r="F48" s="298">
        <v>41569.480000000003</v>
      </c>
      <c r="G48" s="298"/>
      <c r="H48" s="299"/>
      <c r="I48" s="308">
        <f t="shared" si="0"/>
        <v>66215.62</v>
      </c>
      <c r="K48" s="297">
        <v>43288.17</v>
      </c>
      <c r="L48" s="298">
        <v>36770.620000000003</v>
      </c>
      <c r="M48" s="298"/>
      <c r="N48" s="298"/>
      <c r="O48" s="299"/>
      <c r="P48" s="311">
        <f t="shared" si="1"/>
        <v>80058.790000000008</v>
      </c>
      <c r="Q48" s="308">
        <f t="shared" si="1"/>
        <v>36770.620000000003</v>
      </c>
    </row>
    <row r="49" spans="1:17" x14ac:dyDescent="0.3">
      <c r="A49" s="276" t="s">
        <v>60</v>
      </c>
      <c r="B49" s="274">
        <v>47</v>
      </c>
      <c r="C49" s="278">
        <v>75389</v>
      </c>
      <c r="E49" s="300">
        <v>14660.16</v>
      </c>
      <c r="F49" s="301">
        <v>24340.35</v>
      </c>
      <c r="G49" s="301"/>
      <c r="H49" s="302"/>
      <c r="I49" s="309">
        <f t="shared" si="0"/>
        <v>39000.509999999995</v>
      </c>
      <c r="K49" s="300">
        <v>25768.11</v>
      </c>
      <c r="L49" s="301">
        <v>20439.04</v>
      </c>
      <c r="M49" s="301"/>
      <c r="N49" s="301"/>
      <c r="O49" s="302"/>
      <c r="P49" s="312">
        <f t="shared" si="1"/>
        <v>46207.15</v>
      </c>
      <c r="Q49" s="309">
        <f t="shared" si="1"/>
        <v>20439.04</v>
      </c>
    </row>
    <row r="50" spans="1:17" x14ac:dyDescent="0.3">
      <c r="A50" s="276" t="s">
        <v>61</v>
      </c>
      <c r="B50" s="274">
        <v>48</v>
      </c>
      <c r="C50" s="278">
        <v>708331</v>
      </c>
      <c r="E50" s="297">
        <v>174525.43</v>
      </c>
      <c r="F50" s="298">
        <v>147539.65</v>
      </c>
      <c r="G50" s="298"/>
      <c r="H50" s="299"/>
      <c r="I50" s="308">
        <f t="shared" si="0"/>
        <v>322065.07999999996</v>
      </c>
      <c r="K50" s="297">
        <v>164273.48000000001</v>
      </c>
      <c r="L50" s="298">
        <v>167024.01</v>
      </c>
      <c r="M50" s="298"/>
      <c r="N50" s="298"/>
      <c r="O50" s="299"/>
      <c r="P50" s="311">
        <f t="shared" si="1"/>
        <v>331297.49</v>
      </c>
      <c r="Q50" s="308">
        <f t="shared" si="1"/>
        <v>167024.01</v>
      </c>
    </row>
    <row r="51" spans="1:17" x14ac:dyDescent="0.3">
      <c r="A51" s="276" t="s">
        <v>62</v>
      </c>
      <c r="B51" s="274">
        <v>49</v>
      </c>
      <c r="C51" s="278">
        <v>273642</v>
      </c>
      <c r="E51" s="300">
        <v>72025.09</v>
      </c>
      <c r="F51" s="301">
        <v>102094.08</v>
      </c>
      <c r="G51" s="301"/>
      <c r="H51" s="302"/>
      <c r="I51" s="309">
        <f t="shared" si="0"/>
        <v>174119.16999999998</v>
      </c>
      <c r="K51" s="300">
        <v>92858.64</v>
      </c>
      <c r="L51" s="301">
        <v>99361.3</v>
      </c>
      <c r="M51" s="301"/>
      <c r="N51" s="301"/>
      <c r="O51" s="302"/>
      <c r="P51" s="312">
        <f t="shared" si="1"/>
        <v>192219.94</v>
      </c>
      <c r="Q51" s="309">
        <f t="shared" si="1"/>
        <v>99361.3</v>
      </c>
    </row>
    <row r="52" spans="1:17" x14ac:dyDescent="0.3">
      <c r="A52" s="276" t="s">
        <v>63</v>
      </c>
      <c r="B52" s="274">
        <v>50</v>
      </c>
      <c r="C52" s="278">
        <v>801368</v>
      </c>
      <c r="E52" s="297">
        <v>175178.34</v>
      </c>
      <c r="F52" s="298">
        <v>175327.05</v>
      </c>
      <c r="G52" s="298"/>
      <c r="H52" s="299"/>
      <c r="I52" s="308">
        <f t="shared" si="0"/>
        <v>350505.39</v>
      </c>
      <c r="K52" s="297">
        <v>197690.69</v>
      </c>
      <c r="L52" s="298">
        <v>157318.57</v>
      </c>
      <c r="M52" s="298"/>
      <c r="N52" s="298"/>
      <c r="O52" s="299"/>
      <c r="P52" s="311">
        <f t="shared" si="1"/>
        <v>355009.26</v>
      </c>
      <c r="Q52" s="308">
        <f t="shared" si="1"/>
        <v>157318.57</v>
      </c>
    </row>
    <row r="53" spans="1:17" x14ac:dyDescent="0.3">
      <c r="A53" s="276" t="s">
        <v>64</v>
      </c>
      <c r="B53" s="274">
        <v>51</v>
      </c>
      <c r="C53" s="278">
        <v>220648</v>
      </c>
      <c r="E53" s="300">
        <v>0</v>
      </c>
      <c r="F53" s="301">
        <v>74202.94</v>
      </c>
      <c r="G53" s="301"/>
      <c r="H53" s="302"/>
      <c r="I53" s="309">
        <f t="shared" si="0"/>
        <v>74202.94</v>
      </c>
      <c r="K53" s="300">
        <v>63110.16</v>
      </c>
      <c r="L53" s="301">
        <v>53281.37</v>
      </c>
      <c r="M53" s="301"/>
      <c r="N53" s="301"/>
      <c r="O53" s="302"/>
      <c r="P53" s="312">
        <f t="shared" si="1"/>
        <v>116391.53</v>
      </c>
      <c r="Q53" s="309">
        <f t="shared" si="1"/>
        <v>53281.37</v>
      </c>
    </row>
    <row r="54" spans="1:17" x14ac:dyDescent="0.3">
      <c r="A54" s="276" t="s">
        <v>11</v>
      </c>
      <c r="B54" s="274">
        <v>52</v>
      </c>
      <c r="C54" s="278">
        <v>625735</v>
      </c>
      <c r="E54" s="297">
        <v>158354.32999999999</v>
      </c>
      <c r="F54" s="298">
        <v>159654.71</v>
      </c>
      <c r="G54" s="298"/>
      <c r="H54" s="299"/>
      <c r="I54" s="308">
        <f t="shared" si="0"/>
        <v>318009.03999999998</v>
      </c>
      <c r="K54" s="297">
        <v>155093.79</v>
      </c>
      <c r="L54" s="298">
        <v>146843.02000000002</v>
      </c>
      <c r="M54" s="298"/>
      <c r="N54" s="298"/>
      <c r="O54" s="299"/>
      <c r="P54" s="311">
        <f t="shared" si="1"/>
        <v>301936.81000000006</v>
      </c>
      <c r="Q54" s="308">
        <f t="shared" si="1"/>
        <v>146843.02000000002</v>
      </c>
    </row>
    <row r="55" spans="1:17" x14ac:dyDescent="0.3">
      <c r="A55" s="276" t="s">
        <v>65</v>
      </c>
      <c r="B55" s="274">
        <v>53</v>
      </c>
      <c r="C55" s="278">
        <v>346667</v>
      </c>
      <c r="E55" s="300">
        <v>98580.72</v>
      </c>
      <c r="F55" s="301">
        <v>97742.31</v>
      </c>
      <c r="G55" s="301"/>
      <c r="H55" s="302"/>
      <c r="I55" s="309">
        <f t="shared" si="0"/>
        <v>196323.03</v>
      </c>
      <c r="K55" s="300">
        <v>95364.35</v>
      </c>
      <c r="L55" s="301">
        <v>84065.64</v>
      </c>
      <c r="M55" s="301"/>
      <c r="N55" s="301"/>
      <c r="O55" s="302"/>
      <c r="P55" s="312">
        <f t="shared" si="1"/>
        <v>179429.99</v>
      </c>
      <c r="Q55" s="309">
        <f t="shared" si="1"/>
        <v>84065.64</v>
      </c>
    </row>
    <row r="56" spans="1:17" x14ac:dyDescent="0.3">
      <c r="A56" s="276" t="s">
        <v>66</v>
      </c>
      <c r="B56" s="274">
        <v>54</v>
      </c>
      <c r="C56" s="278">
        <v>102391</v>
      </c>
      <c r="E56" s="297">
        <v>32825.25</v>
      </c>
      <c r="F56" s="298">
        <v>20809.150000000001</v>
      </c>
      <c r="G56" s="298"/>
      <c r="H56" s="299"/>
      <c r="I56" s="308">
        <f t="shared" si="0"/>
        <v>53634.400000000001</v>
      </c>
      <c r="K56" s="297">
        <v>28015.54</v>
      </c>
      <c r="L56" s="298">
        <v>26545.979999999996</v>
      </c>
      <c r="M56" s="298"/>
      <c r="N56" s="298"/>
      <c r="O56" s="299"/>
      <c r="P56" s="311">
        <f t="shared" si="1"/>
        <v>54561.52</v>
      </c>
      <c r="Q56" s="308">
        <f t="shared" si="1"/>
        <v>26545.979999999996</v>
      </c>
    </row>
    <row r="57" spans="1:17" x14ac:dyDescent="0.3">
      <c r="A57" s="276" t="s">
        <v>67</v>
      </c>
      <c r="B57" s="274">
        <v>55</v>
      </c>
      <c r="C57" s="278">
        <v>163857</v>
      </c>
      <c r="E57" s="300">
        <v>72075.63</v>
      </c>
      <c r="F57" s="301">
        <v>42285.7</v>
      </c>
      <c r="G57" s="301"/>
      <c r="H57" s="302"/>
      <c r="I57" s="309">
        <f t="shared" si="0"/>
        <v>114361.33</v>
      </c>
      <c r="K57" s="300">
        <v>42162.34</v>
      </c>
      <c r="L57" s="301">
        <v>48482.38</v>
      </c>
      <c r="M57" s="301"/>
      <c r="N57" s="301"/>
      <c r="O57" s="302"/>
      <c r="P57" s="312">
        <f t="shared" si="1"/>
        <v>90644.72</v>
      </c>
      <c r="Q57" s="309">
        <f t="shared" si="1"/>
        <v>48482.38</v>
      </c>
    </row>
    <row r="58" spans="1:17" x14ac:dyDescent="0.3">
      <c r="A58" s="276" t="s">
        <v>68</v>
      </c>
      <c r="B58" s="274">
        <v>56</v>
      </c>
      <c r="C58" s="278">
        <v>349384</v>
      </c>
      <c r="E58" s="297">
        <v>81291.11</v>
      </c>
      <c r="F58" s="298">
        <v>74684.53</v>
      </c>
      <c r="G58" s="298"/>
      <c r="H58" s="299"/>
      <c r="I58" s="308">
        <f t="shared" si="0"/>
        <v>155975.64000000001</v>
      </c>
      <c r="K58" s="297">
        <v>93263.46</v>
      </c>
      <c r="L58" s="298">
        <v>72467.929999999993</v>
      </c>
      <c r="M58" s="298"/>
      <c r="N58" s="298"/>
      <c r="O58" s="299"/>
      <c r="P58" s="311">
        <f t="shared" si="1"/>
        <v>165731.39000000001</v>
      </c>
      <c r="Q58" s="308">
        <f t="shared" si="1"/>
        <v>72467.929999999993</v>
      </c>
    </row>
    <row r="59" spans="1:17" x14ac:dyDescent="0.3">
      <c r="A59" s="276" t="s">
        <v>69</v>
      </c>
      <c r="B59" s="275">
        <v>57</v>
      </c>
      <c r="C59" s="278">
        <v>211703</v>
      </c>
      <c r="E59" s="300">
        <v>71156.679999999993</v>
      </c>
      <c r="F59" s="301">
        <v>56490.66</v>
      </c>
      <c r="G59" s="301"/>
      <c r="H59" s="302"/>
      <c r="I59" s="309">
        <f t="shared" si="0"/>
        <v>127647.34</v>
      </c>
      <c r="K59" s="300">
        <v>70154.83</v>
      </c>
      <c r="L59" s="301">
        <v>59221.82</v>
      </c>
      <c r="M59" s="301"/>
      <c r="N59" s="301"/>
      <c r="O59" s="302"/>
      <c r="P59" s="312">
        <f t="shared" si="1"/>
        <v>129376.65</v>
      </c>
      <c r="Q59" s="309">
        <f t="shared" si="1"/>
        <v>59221.82</v>
      </c>
    </row>
    <row r="60" spans="1:17" x14ac:dyDescent="0.3">
      <c r="A60" s="276" t="s">
        <v>111</v>
      </c>
      <c r="B60" s="274">
        <v>58</v>
      </c>
      <c r="C60" s="278">
        <v>78068</v>
      </c>
      <c r="E60" s="297">
        <v>29871.25</v>
      </c>
      <c r="F60" s="298">
        <v>12981.48</v>
      </c>
      <c r="G60" s="298"/>
      <c r="H60" s="299"/>
      <c r="I60" s="308">
        <f t="shared" si="0"/>
        <v>42852.729999999996</v>
      </c>
      <c r="K60" s="297">
        <v>23601.83</v>
      </c>
      <c r="L60" s="298">
        <v>15980.06</v>
      </c>
      <c r="M60" s="298"/>
      <c r="N60" s="298"/>
      <c r="O60" s="299"/>
      <c r="P60" s="311">
        <f t="shared" si="1"/>
        <v>39581.89</v>
      </c>
      <c r="Q60" s="308">
        <f t="shared" si="1"/>
        <v>15980.06</v>
      </c>
    </row>
    <row r="61" spans="1:17" x14ac:dyDescent="0.3">
      <c r="A61" s="276" t="s">
        <v>113</v>
      </c>
      <c r="B61" s="274">
        <v>59</v>
      </c>
      <c r="C61" s="278">
        <v>289885</v>
      </c>
      <c r="E61" s="300">
        <v>82742.73</v>
      </c>
      <c r="F61" s="301">
        <v>2147.86</v>
      </c>
      <c r="G61" s="301"/>
      <c r="H61" s="302"/>
      <c r="I61" s="309">
        <f t="shared" si="0"/>
        <v>84890.59</v>
      </c>
      <c r="K61" s="300">
        <v>71569.53</v>
      </c>
      <c r="L61" s="301">
        <v>54268.68</v>
      </c>
      <c r="M61" s="301"/>
      <c r="N61" s="301"/>
      <c r="O61" s="302"/>
      <c r="P61" s="312">
        <f t="shared" si="1"/>
        <v>125838.20999999999</v>
      </c>
      <c r="Q61" s="309">
        <f t="shared" si="1"/>
        <v>54268.68</v>
      </c>
    </row>
    <row r="62" spans="1:17" x14ac:dyDescent="0.3">
      <c r="A62" s="276" t="s">
        <v>71</v>
      </c>
      <c r="B62" s="274">
        <v>60</v>
      </c>
      <c r="C62" s="278">
        <v>75897</v>
      </c>
      <c r="E62" s="297">
        <v>16386.060000000001</v>
      </c>
      <c r="F62" s="298">
        <v>21478.38</v>
      </c>
      <c r="G62" s="298"/>
      <c r="H62" s="299"/>
      <c r="I62" s="308">
        <f t="shared" si="0"/>
        <v>37864.44</v>
      </c>
      <c r="K62" s="297">
        <v>25556.9</v>
      </c>
      <c r="L62" s="298">
        <v>21304.670000000002</v>
      </c>
      <c r="M62" s="298"/>
      <c r="N62" s="298"/>
      <c r="O62" s="299"/>
      <c r="P62" s="311">
        <f t="shared" si="1"/>
        <v>46861.570000000007</v>
      </c>
      <c r="Q62" s="308">
        <f t="shared" si="1"/>
        <v>21304.670000000002</v>
      </c>
    </row>
    <row r="63" spans="1:17" x14ac:dyDescent="0.3">
      <c r="A63" s="276" t="s">
        <v>72</v>
      </c>
      <c r="B63" s="274">
        <v>61</v>
      </c>
      <c r="C63" s="278">
        <v>25886</v>
      </c>
      <c r="E63" s="300">
        <v>4915.1000000000004</v>
      </c>
      <c r="F63" s="301">
        <v>7635.96</v>
      </c>
      <c r="G63" s="301"/>
      <c r="H63" s="302"/>
      <c r="I63" s="309">
        <f t="shared" si="0"/>
        <v>12551.060000000001</v>
      </c>
      <c r="K63" s="300">
        <v>7829.37</v>
      </c>
      <c r="L63" s="301">
        <v>5914.4699999999993</v>
      </c>
      <c r="M63" s="301"/>
      <c r="N63" s="301"/>
      <c r="O63" s="302"/>
      <c r="P63" s="312">
        <f t="shared" si="1"/>
        <v>13743.84</v>
      </c>
      <c r="Q63" s="309">
        <f t="shared" si="1"/>
        <v>5914.4699999999993</v>
      </c>
    </row>
    <row r="64" spans="1:17" x14ac:dyDescent="0.3">
      <c r="A64" s="276" t="s">
        <v>73</v>
      </c>
      <c r="B64" s="274">
        <v>62</v>
      </c>
      <c r="C64" s="278">
        <v>11748</v>
      </c>
      <c r="E64" s="297">
        <v>6466.04</v>
      </c>
      <c r="F64" s="298">
        <v>0</v>
      </c>
      <c r="G64" s="298"/>
      <c r="H64" s="299"/>
      <c r="I64" s="308">
        <f t="shared" si="0"/>
        <v>6466.04</v>
      </c>
      <c r="K64" s="297">
        <v>2311.88</v>
      </c>
      <c r="L64" s="298">
        <v>3293.29</v>
      </c>
      <c r="M64" s="298"/>
      <c r="N64" s="298"/>
      <c r="O64" s="299"/>
      <c r="P64" s="311">
        <f t="shared" si="1"/>
        <v>5605.17</v>
      </c>
      <c r="Q64" s="308">
        <f t="shared" si="1"/>
        <v>3293.29</v>
      </c>
    </row>
    <row r="65" spans="1:17" x14ac:dyDescent="0.3">
      <c r="A65" s="276" t="s">
        <v>74</v>
      </c>
      <c r="B65" s="274">
        <v>63</v>
      </c>
      <c r="C65" s="278">
        <v>9976</v>
      </c>
      <c r="E65" s="300">
        <v>0</v>
      </c>
      <c r="F65" s="301">
        <v>0</v>
      </c>
      <c r="G65" s="301"/>
      <c r="H65" s="302"/>
      <c r="I65" s="309">
        <f t="shared" si="0"/>
        <v>0</v>
      </c>
      <c r="K65" s="300">
        <v>1270.42</v>
      </c>
      <c r="L65" s="301">
        <v>3461.29</v>
      </c>
      <c r="M65" s="301"/>
      <c r="N65" s="301"/>
      <c r="O65" s="302"/>
      <c r="P65" s="312">
        <f t="shared" si="1"/>
        <v>4731.71</v>
      </c>
      <c r="Q65" s="309">
        <f t="shared" si="1"/>
        <v>3461.29</v>
      </c>
    </row>
    <row r="66" spans="1:17" x14ac:dyDescent="0.3">
      <c r="A66" s="276" t="s">
        <v>75</v>
      </c>
      <c r="B66" s="274">
        <v>64</v>
      </c>
      <c r="C66" s="278">
        <v>276066</v>
      </c>
      <c r="E66" s="297">
        <v>69789.259999999995</v>
      </c>
      <c r="F66" s="298">
        <v>95676.46</v>
      </c>
      <c r="G66" s="298"/>
      <c r="H66" s="299"/>
      <c r="I66" s="308">
        <f t="shared" si="0"/>
        <v>165465.72</v>
      </c>
      <c r="K66" s="297">
        <v>85696.75</v>
      </c>
      <c r="L66" s="298">
        <v>71167.100000000006</v>
      </c>
      <c r="M66" s="298"/>
      <c r="N66" s="298"/>
      <c r="O66" s="299"/>
      <c r="P66" s="311">
        <f t="shared" si="1"/>
        <v>156863.85</v>
      </c>
      <c r="Q66" s="308">
        <f t="shared" si="1"/>
        <v>71167.100000000006</v>
      </c>
    </row>
    <row r="67" spans="1:17" x14ac:dyDescent="0.3">
      <c r="A67" s="276" t="s">
        <v>76</v>
      </c>
      <c r="B67" s="274">
        <v>65</v>
      </c>
      <c r="C67" s="278">
        <v>34229</v>
      </c>
      <c r="E67" s="300">
        <v>11562.69</v>
      </c>
      <c r="F67" s="301">
        <v>11626.16</v>
      </c>
      <c r="G67" s="301"/>
      <c r="H67" s="302"/>
      <c r="I67" s="309">
        <f t="shared" si="0"/>
        <v>23188.85</v>
      </c>
      <c r="K67" s="300">
        <v>10103.19</v>
      </c>
      <c r="L67" s="301">
        <v>9136.15</v>
      </c>
      <c r="M67" s="301"/>
      <c r="N67" s="301"/>
      <c r="O67" s="302"/>
      <c r="P67" s="312">
        <f t="shared" si="1"/>
        <v>19239.34</v>
      </c>
      <c r="Q67" s="309">
        <f t="shared" si="1"/>
        <v>9136.15</v>
      </c>
    </row>
    <row r="68" spans="1:17" x14ac:dyDescent="0.3">
      <c r="A68" s="276" t="s">
        <v>77</v>
      </c>
      <c r="B68" s="274">
        <v>66</v>
      </c>
      <c r="C68" s="278">
        <v>58394</v>
      </c>
      <c r="E68" s="297">
        <v>14591.6</v>
      </c>
      <c r="F68" s="298">
        <v>8483.5400000000009</v>
      </c>
      <c r="G68" s="298"/>
      <c r="H68" s="299"/>
      <c r="I68" s="308">
        <f t="shared" ref="I68:I70" si="2">SUM(E68:H68)</f>
        <v>23075.14</v>
      </c>
      <c r="K68" s="297">
        <v>17111.14</v>
      </c>
      <c r="L68" s="298">
        <v>12499.619999999999</v>
      </c>
      <c r="M68" s="298"/>
      <c r="N68" s="298"/>
      <c r="O68" s="299"/>
      <c r="P68" s="311">
        <f t="shared" ref="P68:Q70" si="3">SUM(K68:N68)</f>
        <v>29610.76</v>
      </c>
      <c r="Q68" s="308">
        <f t="shared" si="3"/>
        <v>12499.619999999999</v>
      </c>
    </row>
    <row r="69" spans="1:17" ht="16.5" thickBot="1" x14ac:dyDescent="0.35">
      <c r="A69" s="276" t="s">
        <v>78</v>
      </c>
      <c r="B69" s="274">
        <v>67</v>
      </c>
      <c r="C69" s="278">
        <v>39877</v>
      </c>
      <c r="E69" s="300">
        <v>9318.8799999999992</v>
      </c>
      <c r="F69" s="301">
        <v>7592.97</v>
      </c>
      <c r="G69" s="301"/>
      <c r="H69" s="302"/>
      <c r="I69" s="309">
        <f t="shared" si="2"/>
        <v>16911.849999999999</v>
      </c>
      <c r="K69" s="300">
        <v>9985.77</v>
      </c>
      <c r="L69" s="301">
        <v>8092.9</v>
      </c>
      <c r="M69" s="301"/>
      <c r="N69" s="301"/>
      <c r="O69" s="302"/>
      <c r="P69" s="312">
        <f t="shared" si="3"/>
        <v>18078.669999999998</v>
      </c>
      <c r="Q69" s="309">
        <f t="shared" si="3"/>
        <v>8092.9</v>
      </c>
    </row>
    <row r="70" spans="1:17" ht="17.25" thickTop="1" thickBot="1" x14ac:dyDescent="0.35">
      <c r="A70" s="277" t="s">
        <v>354</v>
      </c>
      <c r="B70" s="97"/>
      <c r="C70" s="278">
        <f>SUM(C3:C69)</f>
        <v>11700000</v>
      </c>
      <c r="E70" s="291">
        <v>2924971.0000000005</v>
      </c>
      <c r="F70" s="292">
        <v>2925014.9999999995</v>
      </c>
      <c r="G70" s="292"/>
      <c r="H70" s="293"/>
      <c r="I70" s="289">
        <f t="shared" si="2"/>
        <v>5849986</v>
      </c>
      <c r="K70" s="291">
        <f>SUM(K3:K69)</f>
        <v>3302488.1900000004</v>
      </c>
      <c r="L70" s="292">
        <f t="shared" ref="L70:N70" si="4">SUM(L3:L69)</f>
        <v>2918088.6100000013</v>
      </c>
      <c r="M70" s="292">
        <f t="shared" si="4"/>
        <v>0</v>
      </c>
      <c r="N70" s="292">
        <f t="shared" si="4"/>
        <v>0</v>
      </c>
      <c r="O70" s="293"/>
      <c r="P70" s="313">
        <f t="shared" si="3"/>
        <v>6220576.8000000017</v>
      </c>
      <c r="Q70" s="289">
        <f t="shared" si="3"/>
        <v>2918088.6100000013</v>
      </c>
    </row>
    <row r="71" spans="1:17" ht="16.5" thickTop="1" x14ac:dyDescent="0.3">
      <c r="H71" s="279" t="s">
        <v>365</v>
      </c>
      <c r="I71" s="278">
        <f>SUM(I3:I69)</f>
        <v>5849985.9999999991</v>
      </c>
      <c r="O71" s="279" t="s">
        <v>365</v>
      </c>
      <c r="P71" s="278">
        <f>SUM(P3:P69)</f>
        <v>6220576.799999998</v>
      </c>
      <c r="Q71" s="278">
        <f>SUM(Q3:Q69)</f>
        <v>2918088.6100000013</v>
      </c>
    </row>
    <row r="72" spans="1:17" x14ac:dyDescent="0.3">
      <c r="H72" s="279" t="s">
        <v>364</v>
      </c>
      <c r="I72" s="278">
        <f>I70-I71</f>
        <v>0</v>
      </c>
      <c r="O72" s="279" t="s">
        <v>364</v>
      </c>
      <c r="P72" s="278">
        <f>P70-P71</f>
        <v>0</v>
      </c>
      <c r="Q72" s="278">
        <f>Q70-Q71</f>
        <v>0</v>
      </c>
    </row>
    <row r="73" spans="1:17" ht="51.75" x14ac:dyDescent="0.3">
      <c r="B73" s="281" t="s">
        <v>357</v>
      </c>
      <c r="C73" s="280" t="s">
        <v>356</v>
      </c>
      <c r="E73" s="280" t="s">
        <v>366</v>
      </c>
      <c r="F73" s="280"/>
      <c r="G73" s="280"/>
      <c r="H73" s="280"/>
      <c r="K73" s="362" t="s">
        <v>369</v>
      </c>
      <c r="L73" s="362"/>
      <c r="M73" s="362"/>
      <c r="N73" s="362"/>
      <c r="O73" s="314"/>
      <c r="P73" s="314"/>
    </row>
  </sheetData>
  <mergeCells count="1">
    <mergeCell ref="K73:N7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C00000"/>
    <pageSetUpPr fitToPage="1"/>
  </sheetPr>
  <dimension ref="A1:ZY72"/>
  <sheetViews>
    <sheetView view="pageBreakPreview" zoomScale="85" zoomScaleNormal="100" zoomScaleSheetLayoutView="85" workbookViewId="0">
      <pane xSplit="1" ySplit="4" topLeftCell="B35" activePane="bottomRight" state="frozen"/>
      <selection pane="topRight" activeCell="B1" sqref="B1"/>
      <selection pane="bottomLeft" activeCell="A4" sqref="A4"/>
      <selection pane="bottomRight" activeCell="A64" sqref="A64"/>
    </sheetView>
  </sheetViews>
  <sheetFormatPr defaultColWidth="8.88671875" defaultRowHeight="15.75" x14ac:dyDescent="0.3"/>
  <cols>
    <col min="1" max="1" width="11.77734375" style="59" customWidth="1"/>
    <col min="2" max="2" width="23.109375" style="58" customWidth="1"/>
    <col min="3" max="3" width="21.33203125" style="58" customWidth="1"/>
    <col min="4" max="4" width="20.6640625" style="58" customWidth="1"/>
    <col min="5" max="7" width="20.109375" style="58" customWidth="1"/>
    <col min="8" max="8" width="17.21875" style="58" customWidth="1"/>
    <col min="9" max="9" width="16.109375" style="58" customWidth="1"/>
    <col min="10" max="16384" width="8.88671875" style="58"/>
  </cols>
  <sheetData>
    <row r="1" spans="1:701" x14ac:dyDescent="0.3">
      <c r="A1" s="74" t="s">
        <v>199</v>
      </c>
      <c r="B1" s="63"/>
      <c r="C1" s="63"/>
      <c r="D1" s="63"/>
      <c r="E1" s="63"/>
      <c r="F1" s="63"/>
      <c r="G1" s="63"/>
      <c r="H1" s="63"/>
    </row>
    <row r="2" spans="1:701" ht="16.5" thickBot="1" x14ac:dyDescent="0.35">
      <c r="A2" s="75"/>
      <c r="B2" s="63"/>
      <c r="C2" s="63"/>
      <c r="D2" s="63"/>
      <c r="E2" s="63"/>
      <c r="F2" s="63"/>
      <c r="G2" s="63"/>
      <c r="H2" s="63"/>
    </row>
    <row r="3" spans="1:701" ht="38.25" customHeight="1" x14ac:dyDescent="0.3">
      <c r="A3" s="76" t="s">
        <v>200</v>
      </c>
      <c r="B3" s="77" t="s">
        <v>203</v>
      </c>
      <c r="C3" s="77" t="s">
        <v>226</v>
      </c>
      <c r="D3" s="77" t="s">
        <v>227</v>
      </c>
      <c r="E3" s="77" t="s">
        <v>228</v>
      </c>
      <c r="F3" s="249" t="s">
        <v>292</v>
      </c>
      <c r="G3" s="249" t="s">
        <v>330</v>
      </c>
      <c r="H3" s="78" t="str">
        <f>EstimatingTool!C6</f>
        <v>Apr - May - Jun</v>
      </c>
    </row>
    <row r="4" spans="1:701" ht="54" customHeight="1" x14ac:dyDescent="0.3">
      <c r="A4" s="79" t="s">
        <v>201</v>
      </c>
      <c r="B4" s="80" t="s">
        <v>229</v>
      </c>
      <c r="C4" s="80" t="s">
        <v>230</v>
      </c>
      <c r="D4" s="80" t="s">
        <v>230</v>
      </c>
      <c r="E4" s="80" t="s">
        <v>230</v>
      </c>
      <c r="F4" s="250" t="s">
        <v>230</v>
      </c>
      <c r="G4" s="250" t="s">
        <v>230</v>
      </c>
      <c r="H4" s="81" t="s">
        <v>231</v>
      </c>
    </row>
    <row r="5" spans="1:701" x14ac:dyDescent="0.3">
      <c r="A5" s="82" t="s">
        <v>16</v>
      </c>
      <c r="B5" s="83">
        <v>75094.14</v>
      </c>
      <c r="C5" s="89">
        <v>51639.93</v>
      </c>
      <c r="D5" s="89">
        <v>23440.38</v>
      </c>
      <c r="E5" s="242">
        <f>80096.32</f>
        <v>80096.320000000007</v>
      </c>
      <c r="F5" s="136">
        <v>49388.52</v>
      </c>
      <c r="G5" s="136">
        <v>32687.99</v>
      </c>
      <c r="H5" s="84">
        <f t="shared" ref="H5:H36" si="0">IF(H$3="Jul - Aug - Sep",B5,IF(H$3="Oct - Nov - Dec",C5,IF(H$3="Jan - Feb - Mar",D5,E5)))</f>
        <v>80096.320000000007</v>
      </c>
      <c r="I5" s="60"/>
    </row>
    <row r="6" spans="1:701" x14ac:dyDescent="0.3">
      <c r="A6" s="82" t="s">
        <v>17</v>
      </c>
      <c r="B6" s="83">
        <v>10053.879999999999</v>
      </c>
      <c r="C6" s="89">
        <v>8854.15</v>
      </c>
      <c r="D6" s="89">
        <v>3568.92</v>
      </c>
      <c r="E6" s="240">
        <f>17484.45-10711.82</f>
        <v>6772.630000000001</v>
      </c>
      <c r="F6" s="136">
        <v>0</v>
      </c>
      <c r="G6" s="136">
        <v>8551.15</v>
      </c>
      <c r="H6" s="84">
        <f t="shared" si="0"/>
        <v>6772.630000000001</v>
      </c>
      <c r="I6" s="60"/>
    </row>
    <row r="7" spans="1:701" x14ac:dyDescent="0.3">
      <c r="A7" s="82" t="s">
        <v>18</v>
      </c>
      <c r="B7" s="83">
        <v>49090.55</v>
      </c>
      <c r="C7" s="89">
        <v>57319.33</v>
      </c>
      <c r="D7" s="89">
        <v>42150.63</v>
      </c>
      <c r="E7" s="89">
        <v>2864.34</v>
      </c>
      <c r="F7" s="136">
        <v>51041.15</v>
      </c>
      <c r="G7" s="136">
        <v>66609.740000000005</v>
      </c>
      <c r="H7" s="84">
        <f t="shared" si="0"/>
        <v>2864.34</v>
      </c>
    </row>
    <row r="8" spans="1:701" x14ac:dyDescent="0.3">
      <c r="A8" s="82" t="s">
        <v>81</v>
      </c>
      <c r="B8" s="83">
        <v>0</v>
      </c>
      <c r="C8" s="89">
        <v>0</v>
      </c>
      <c r="D8" s="89">
        <v>7431.13</v>
      </c>
      <c r="E8" s="89">
        <v>4647.3599999999997</v>
      </c>
      <c r="F8" s="136">
        <v>2576.98</v>
      </c>
      <c r="G8" s="136">
        <v>13053.27</v>
      </c>
      <c r="H8" s="84">
        <f t="shared" si="0"/>
        <v>4647.3599999999997</v>
      </c>
    </row>
    <row r="9" spans="1:701" x14ac:dyDescent="0.3">
      <c r="A9" s="82" t="s">
        <v>19</v>
      </c>
      <c r="B9" s="83">
        <v>117658.73</v>
      </c>
      <c r="C9" s="89">
        <v>107931.08</v>
      </c>
      <c r="D9" s="89">
        <v>89990.58</v>
      </c>
      <c r="E9" s="89">
        <v>99791.3</v>
      </c>
      <c r="F9" s="136">
        <v>123764.24</v>
      </c>
      <c r="G9" s="136">
        <v>95510.71</v>
      </c>
      <c r="H9" s="84">
        <f t="shared" si="0"/>
        <v>99791.3</v>
      </c>
    </row>
    <row r="10" spans="1:701" x14ac:dyDescent="0.3">
      <c r="A10" s="82" t="s">
        <v>20</v>
      </c>
      <c r="B10" s="83">
        <v>222031.6</v>
      </c>
      <c r="C10" s="89">
        <v>193735.46000000002</v>
      </c>
      <c r="D10" s="89">
        <v>225872.06</v>
      </c>
      <c r="E10" s="89">
        <v>174627.84</v>
      </c>
      <c r="F10" s="136">
        <v>241241.82</v>
      </c>
      <c r="G10" s="136">
        <v>228621.72</v>
      </c>
      <c r="H10" s="84">
        <f t="shared" si="0"/>
        <v>174627.84</v>
      </c>
    </row>
    <row r="11" spans="1:701" x14ac:dyDescent="0.3">
      <c r="A11" s="82" t="s">
        <v>21</v>
      </c>
      <c r="B11" s="83">
        <v>4466.43</v>
      </c>
      <c r="C11" s="89">
        <v>1872.27</v>
      </c>
      <c r="D11" s="89">
        <v>223.67</v>
      </c>
      <c r="E11" s="240">
        <f>1214.16+918.53</f>
        <v>2132.69</v>
      </c>
      <c r="F11" s="136">
        <v>2559.4299999999998</v>
      </c>
      <c r="G11" s="136">
        <v>2841.65</v>
      </c>
      <c r="H11" s="84">
        <f t="shared" si="0"/>
        <v>2132.69</v>
      </c>
    </row>
    <row r="12" spans="1:701" x14ac:dyDescent="0.3">
      <c r="A12" s="82" t="s">
        <v>22</v>
      </c>
      <c r="B12" s="83">
        <v>38821.760000000002</v>
      </c>
      <c r="C12" s="89">
        <v>36780.560000000005</v>
      </c>
      <c r="D12" s="89">
        <v>25117.11</v>
      </c>
      <c r="E12" s="241">
        <f>46741.53-12210.36</f>
        <v>34531.17</v>
      </c>
      <c r="F12" s="136">
        <v>40631.410000000003</v>
      </c>
      <c r="G12" s="136">
        <v>25373.040000000001</v>
      </c>
      <c r="H12" s="84">
        <f t="shared" si="0"/>
        <v>34531.17</v>
      </c>
    </row>
    <row r="13" spans="1:701" x14ac:dyDescent="0.3">
      <c r="A13" s="82" t="s">
        <v>23</v>
      </c>
      <c r="B13" s="83">
        <v>23425.75</v>
      </c>
      <c r="C13" s="89">
        <v>21267.14</v>
      </c>
      <c r="D13" s="89">
        <v>19899.330000000002</v>
      </c>
      <c r="E13" s="242">
        <f>17840.92+455</f>
        <v>18295.919999999998</v>
      </c>
      <c r="F13" s="136">
        <v>20769.259999999998</v>
      </c>
      <c r="G13" s="136">
        <v>19945.580000000002</v>
      </c>
      <c r="H13" s="84">
        <f t="shared" si="0"/>
        <v>18295.919999999998</v>
      </c>
    </row>
    <row r="14" spans="1:701" x14ac:dyDescent="0.3">
      <c r="A14" s="82" t="s">
        <v>24</v>
      </c>
      <c r="B14" s="83">
        <v>16263.83</v>
      </c>
      <c r="C14" s="89">
        <v>10680.259999999998</v>
      </c>
      <c r="D14" s="89">
        <v>25490.77</v>
      </c>
      <c r="E14" s="89">
        <v>6726.7</v>
      </c>
      <c r="F14" s="136">
        <v>12040.57</v>
      </c>
      <c r="G14" s="136">
        <v>25070.04</v>
      </c>
      <c r="H14" s="84">
        <f t="shared" si="0"/>
        <v>6726.7</v>
      </c>
    </row>
    <row r="15" spans="1:701" x14ac:dyDescent="0.3">
      <c r="A15" s="82" t="s">
        <v>25</v>
      </c>
      <c r="B15" s="83">
        <v>68991.42</v>
      </c>
      <c r="C15" s="89">
        <v>56670.400000000001</v>
      </c>
      <c r="D15" s="89">
        <v>53367.46</v>
      </c>
      <c r="E15" s="89">
        <v>65441.69</v>
      </c>
      <c r="F15" s="136">
        <v>51087.43</v>
      </c>
      <c r="G15" s="136">
        <v>58200.42</v>
      </c>
      <c r="H15" s="84">
        <f t="shared" si="0"/>
        <v>65441.69</v>
      </c>
    </row>
    <row r="16" spans="1:701" x14ac:dyDescent="0.3">
      <c r="A16" s="82" t="s">
        <v>26</v>
      </c>
      <c r="B16" s="83">
        <v>14517.01</v>
      </c>
      <c r="C16" s="89">
        <v>15251.83</v>
      </c>
      <c r="D16" s="89">
        <v>17045.349999999999</v>
      </c>
      <c r="E16" s="89">
        <v>10118.030000000001</v>
      </c>
      <c r="F16" s="136">
        <v>13142.21</v>
      </c>
      <c r="G16" s="136">
        <v>15709.07</v>
      </c>
      <c r="H16" s="84">
        <f t="shared" si="0"/>
        <v>10118.030000000001</v>
      </c>
      <c r="ZY16" s="61">
        <v>1</v>
      </c>
    </row>
    <row r="17" spans="1:8" x14ac:dyDescent="0.3">
      <c r="A17" s="82" t="s">
        <v>193</v>
      </c>
      <c r="B17" s="83">
        <v>9953.64</v>
      </c>
      <c r="C17" s="89">
        <v>7769.99</v>
      </c>
      <c r="D17" s="89">
        <v>3921.51</v>
      </c>
      <c r="E17" s="89">
        <v>11752.75</v>
      </c>
      <c r="F17" s="136">
        <v>3928.95</v>
      </c>
      <c r="G17" s="136">
        <v>8747.7000000000007</v>
      </c>
      <c r="H17" s="84">
        <f t="shared" si="0"/>
        <v>11752.75</v>
      </c>
    </row>
    <row r="18" spans="1:8" x14ac:dyDescent="0.3">
      <c r="A18" s="82" t="s">
        <v>28</v>
      </c>
      <c r="B18" s="83">
        <v>0</v>
      </c>
      <c r="C18" s="89">
        <v>0</v>
      </c>
      <c r="D18" s="89">
        <v>4815.66</v>
      </c>
      <c r="E18" s="89">
        <v>0</v>
      </c>
      <c r="F18" s="136">
        <v>5524.94</v>
      </c>
      <c r="G18" s="136">
        <v>3957.83</v>
      </c>
      <c r="H18" s="84">
        <f t="shared" si="0"/>
        <v>0</v>
      </c>
    </row>
    <row r="19" spans="1:8" x14ac:dyDescent="0.3">
      <c r="A19" s="82" t="s">
        <v>29</v>
      </c>
      <c r="B19" s="83">
        <v>146237.01</v>
      </c>
      <c r="C19" s="89">
        <v>98640.03</v>
      </c>
      <c r="D19" s="89">
        <v>73905.100000000006</v>
      </c>
      <c r="E19" s="89">
        <v>151283.85999999999</v>
      </c>
      <c r="F19" s="136">
        <v>139604.32</v>
      </c>
      <c r="G19" s="136">
        <v>86264.09</v>
      </c>
      <c r="H19" s="84">
        <f t="shared" si="0"/>
        <v>151283.85999999999</v>
      </c>
    </row>
    <row r="20" spans="1:8" x14ac:dyDescent="0.3">
      <c r="A20" s="82" t="s">
        <v>30</v>
      </c>
      <c r="B20" s="83">
        <v>79135.3</v>
      </c>
      <c r="C20" s="89">
        <v>70590.97</v>
      </c>
      <c r="D20" s="89">
        <v>64877.53</v>
      </c>
      <c r="E20" s="89">
        <v>89330.21</v>
      </c>
      <c r="F20" s="136">
        <v>69949.56</v>
      </c>
      <c r="G20" s="136">
        <v>65402.71</v>
      </c>
      <c r="H20" s="84">
        <f t="shared" si="0"/>
        <v>89330.21</v>
      </c>
    </row>
    <row r="21" spans="1:8" x14ac:dyDescent="0.3">
      <c r="A21" s="82" t="s">
        <v>31</v>
      </c>
      <c r="B21" s="83">
        <v>12062.59</v>
      </c>
      <c r="C21" s="89">
        <v>21162.25</v>
      </c>
      <c r="D21" s="89">
        <v>19766.080000000002</v>
      </c>
      <c r="E21" s="241">
        <f>4833.6+8925.74</f>
        <v>13759.34</v>
      </c>
      <c r="F21" s="136">
        <v>15073.4</v>
      </c>
      <c r="G21" s="136">
        <v>23226.14</v>
      </c>
      <c r="H21" s="84">
        <f t="shared" si="0"/>
        <v>13759.34</v>
      </c>
    </row>
    <row r="22" spans="1:8" x14ac:dyDescent="0.3">
      <c r="A22" s="82" t="s">
        <v>32</v>
      </c>
      <c r="B22" s="83">
        <v>3797.25</v>
      </c>
      <c r="C22" s="89">
        <v>4284.53</v>
      </c>
      <c r="D22" s="89">
        <v>4611.68</v>
      </c>
      <c r="E22" s="89">
        <v>3625.88</v>
      </c>
      <c r="F22" s="136">
        <v>2932.04</v>
      </c>
      <c r="G22" s="136">
        <v>5693.75</v>
      </c>
      <c r="H22" s="84">
        <f t="shared" si="0"/>
        <v>3625.88</v>
      </c>
    </row>
    <row r="23" spans="1:8" x14ac:dyDescent="0.3">
      <c r="A23" s="82" t="s">
        <v>33</v>
      </c>
      <c r="B23" s="83">
        <v>11705.59</v>
      </c>
      <c r="C23" s="89">
        <v>11818.34</v>
      </c>
      <c r="D23" s="89">
        <v>14686.89</v>
      </c>
      <c r="E23" s="89">
        <v>8823.92</v>
      </c>
      <c r="F23" s="136">
        <v>7938.84</v>
      </c>
      <c r="G23" s="136">
        <v>23363.14</v>
      </c>
      <c r="H23" s="84">
        <f t="shared" si="0"/>
        <v>8823.92</v>
      </c>
    </row>
    <row r="24" spans="1:8" x14ac:dyDescent="0.3">
      <c r="A24" s="82" t="s">
        <v>34</v>
      </c>
      <c r="B24" s="83">
        <v>0</v>
      </c>
      <c r="C24" s="89">
        <v>0</v>
      </c>
      <c r="D24" s="89">
        <v>0</v>
      </c>
      <c r="E24" s="242">
        <f>0+4780.31</f>
        <v>4780.3100000000004</v>
      </c>
      <c r="F24" s="136">
        <v>1432.35</v>
      </c>
      <c r="G24" s="136">
        <v>2727.49</v>
      </c>
      <c r="H24" s="84">
        <f t="shared" si="0"/>
        <v>4780.3100000000004</v>
      </c>
    </row>
    <row r="25" spans="1:8" x14ac:dyDescent="0.3">
      <c r="A25" s="82" t="s">
        <v>35</v>
      </c>
      <c r="B25" s="83">
        <v>4644.3500000000004</v>
      </c>
      <c r="C25" s="89">
        <v>6478.9</v>
      </c>
      <c r="D25" s="89">
        <v>5252.38</v>
      </c>
      <c r="E25" s="89">
        <v>2612.11</v>
      </c>
      <c r="F25" s="136">
        <v>6391.61</v>
      </c>
      <c r="G25" s="136">
        <v>5930.85</v>
      </c>
      <c r="H25" s="84">
        <f t="shared" si="0"/>
        <v>2612.11</v>
      </c>
    </row>
    <row r="26" spans="1:8" x14ac:dyDescent="0.3">
      <c r="A26" s="82" t="s">
        <v>36</v>
      </c>
      <c r="B26" s="83">
        <v>6161.54</v>
      </c>
      <c r="C26" s="89">
        <v>5426.79</v>
      </c>
      <c r="D26" s="89">
        <v>3992.54</v>
      </c>
      <c r="E26" s="89">
        <v>3841.96</v>
      </c>
      <c r="F26" s="136">
        <v>4006.39</v>
      </c>
      <c r="G26" s="136">
        <v>4906.3999999999996</v>
      </c>
      <c r="H26" s="84">
        <f t="shared" si="0"/>
        <v>3841.96</v>
      </c>
    </row>
    <row r="27" spans="1:8" x14ac:dyDescent="0.3">
      <c r="A27" s="82" t="s">
        <v>37</v>
      </c>
      <c r="B27" s="83">
        <v>5346.58</v>
      </c>
      <c r="C27" s="89">
        <v>5740.4900000000007</v>
      </c>
      <c r="D27" s="89">
        <v>0</v>
      </c>
      <c r="E27" s="89">
        <v>5544.26</v>
      </c>
      <c r="F27" s="136">
        <v>0</v>
      </c>
      <c r="G27" s="136">
        <v>2035.89</v>
      </c>
      <c r="H27" s="84">
        <f t="shared" si="0"/>
        <v>5544.26</v>
      </c>
    </row>
    <row r="28" spans="1:8" x14ac:dyDescent="0.3">
      <c r="A28" s="82" t="s">
        <v>38</v>
      </c>
      <c r="B28" s="83">
        <v>15167.11</v>
      </c>
      <c r="C28" s="89">
        <v>9078.92</v>
      </c>
      <c r="D28" s="89">
        <v>7346.48</v>
      </c>
      <c r="E28" s="89">
        <v>10267.24</v>
      </c>
      <c r="F28" s="136">
        <v>14558.47</v>
      </c>
      <c r="G28" s="136">
        <v>3895.52</v>
      </c>
      <c r="H28" s="84">
        <f t="shared" si="0"/>
        <v>10267.24</v>
      </c>
    </row>
    <row r="29" spans="1:8" x14ac:dyDescent="0.3">
      <c r="A29" s="82" t="s">
        <v>39</v>
      </c>
      <c r="B29" s="83">
        <v>22301.41</v>
      </c>
      <c r="C29" s="89">
        <v>14653.42</v>
      </c>
      <c r="D29" s="89">
        <v>12643.19</v>
      </c>
      <c r="E29" s="89">
        <v>21882.25</v>
      </c>
      <c r="F29" s="136">
        <v>12147.82</v>
      </c>
      <c r="G29" s="136">
        <v>8667.4699999999993</v>
      </c>
      <c r="H29" s="84">
        <f t="shared" si="0"/>
        <v>21882.25</v>
      </c>
    </row>
    <row r="30" spans="1:8" x14ac:dyDescent="0.3">
      <c r="A30" s="82" t="s">
        <v>40</v>
      </c>
      <c r="B30" s="83">
        <v>48501.9</v>
      </c>
      <c r="C30" s="89">
        <v>36780.31</v>
      </c>
      <c r="D30" s="89">
        <v>24269.81</v>
      </c>
      <c r="E30" s="89">
        <v>57496.79</v>
      </c>
      <c r="F30" s="136">
        <v>30435.14</v>
      </c>
      <c r="G30" s="136">
        <v>39543.97</v>
      </c>
      <c r="H30" s="84">
        <f t="shared" si="0"/>
        <v>57496.79</v>
      </c>
    </row>
    <row r="31" spans="1:8" x14ac:dyDescent="0.3">
      <c r="A31" s="82" t="s">
        <v>41</v>
      </c>
      <c r="B31" s="83">
        <v>14430.76</v>
      </c>
      <c r="C31" s="89">
        <v>21716.84</v>
      </c>
      <c r="D31" s="89">
        <v>23339.18</v>
      </c>
      <c r="E31" s="242">
        <f>23582.6+4450.19</f>
        <v>28032.789999999997</v>
      </c>
      <c r="F31" s="136">
        <v>12522.1</v>
      </c>
      <c r="G31" s="136">
        <v>22103.85</v>
      </c>
      <c r="H31" s="84">
        <f t="shared" si="0"/>
        <v>28032.789999999997</v>
      </c>
    </row>
    <row r="32" spans="1:8" x14ac:dyDescent="0.3">
      <c r="A32" s="82" t="s">
        <v>42</v>
      </c>
      <c r="B32" s="83">
        <v>110023.21</v>
      </c>
      <c r="C32" s="89">
        <v>103261.17</v>
      </c>
      <c r="D32" s="89">
        <v>130810.5</v>
      </c>
      <c r="E32" s="242">
        <f>114293.92-259.03</f>
        <v>114034.89</v>
      </c>
      <c r="F32" s="136">
        <v>125836.32</v>
      </c>
      <c r="G32" s="136">
        <v>111288.68</v>
      </c>
      <c r="H32" s="84">
        <f t="shared" si="0"/>
        <v>114034.89</v>
      </c>
    </row>
    <row r="33" spans="1:8" x14ac:dyDescent="0.3">
      <c r="A33" s="82" t="s">
        <v>43</v>
      </c>
      <c r="B33" s="83">
        <v>3328.27</v>
      </c>
      <c r="C33" s="89">
        <v>4238.66</v>
      </c>
      <c r="D33" s="89">
        <v>3560.42</v>
      </c>
      <c r="E33" s="89">
        <v>1003.66</v>
      </c>
      <c r="F33" s="136">
        <v>8480.74</v>
      </c>
      <c r="G33" s="136">
        <v>4991.0200000000004</v>
      </c>
      <c r="H33" s="84">
        <f t="shared" si="0"/>
        <v>1003.66</v>
      </c>
    </row>
    <row r="34" spans="1:8" x14ac:dyDescent="0.3">
      <c r="A34" s="82" t="s">
        <v>44</v>
      </c>
      <c r="B34" s="83">
        <v>40754.68</v>
      </c>
      <c r="C34" s="89">
        <v>41434.79</v>
      </c>
      <c r="D34" s="89">
        <v>57215.53</v>
      </c>
      <c r="E34" s="89">
        <v>22431.279999999999</v>
      </c>
      <c r="F34" s="136">
        <v>38223.910000000003</v>
      </c>
      <c r="G34" s="136">
        <v>59587.54</v>
      </c>
      <c r="H34" s="84">
        <f t="shared" si="0"/>
        <v>22431.279999999999</v>
      </c>
    </row>
    <row r="35" spans="1:8" x14ac:dyDescent="0.3">
      <c r="A35" s="82" t="s">
        <v>45</v>
      </c>
      <c r="B35" s="83">
        <v>10556.74</v>
      </c>
      <c r="C35" s="89">
        <v>7605.4</v>
      </c>
      <c r="D35" s="89">
        <v>8042.28</v>
      </c>
      <c r="E35" s="89">
        <v>7043.47</v>
      </c>
      <c r="F35" s="136">
        <v>5588.52</v>
      </c>
      <c r="G35" s="136">
        <v>11865.63</v>
      </c>
      <c r="H35" s="84">
        <f t="shared" si="0"/>
        <v>7043.47</v>
      </c>
    </row>
    <row r="36" spans="1:8" x14ac:dyDescent="0.3">
      <c r="A36" s="82" t="s">
        <v>46</v>
      </c>
      <c r="B36" s="83">
        <v>16442.189999999999</v>
      </c>
      <c r="C36" s="89">
        <v>11407.800000000001</v>
      </c>
      <c r="D36" s="89">
        <v>7545.3</v>
      </c>
      <c r="E36" s="89">
        <v>4887.67</v>
      </c>
      <c r="F36" s="136">
        <v>10629.77</v>
      </c>
      <c r="G36" s="136">
        <v>10057.34</v>
      </c>
      <c r="H36" s="84">
        <f t="shared" si="0"/>
        <v>4887.67</v>
      </c>
    </row>
    <row r="37" spans="1:8" x14ac:dyDescent="0.3">
      <c r="A37" s="82" t="s">
        <v>47</v>
      </c>
      <c r="B37" s="83">
        <v>4103.55</v>
      </c>
      <c r="C37" s="89">
        <v>0</v>
      </c>
      <c r="D37" s="89">
        <v>0</v>
      </c>
      <c r="E37" s="89">
        <v>4200.5600000000004</v>
      </c>
      <c r="F37" s="136">
        <v>0</v>
      </c>
      <c r="G37" s="136">
        <v>0</v>
      </c>
      <c r="H37" s="84">
        <f t="shared" ref="H37:H71" si="1">IF(H$3="Jul - Aug - Sep",B37,IF(H$3="Oct - Nov - Dec",C37,IF(H$3="Jan - Feb - Mar",D37,E37)))</f>
        <v>4200.5600000000004</v>
      </c>
    </row>
    <row r="38" spans="1:8" x14ac:dyDescent="0.3">
      <c r="A38" s="82" t="s">
        <v>48</v>
      </c>
      <c r="B38" s="83">
        <v>52416.32</v>
      </c>
      <c r="C38" s="89">
        <v>61511.25</v>
      </c>
      <c r="D38" s="89">
        <v>54582.43</v>
      </c>
      <c r="E38" s="89">
        <v>59355.54</v>
      </c>
      <c r="F38" s="136">
        <v>62006.47</v>
      </c>
      <c r="G38" s="136">
        <v>48325.95</v>
      </c>
      <c r="H38" s="84">
        <f t="shared" si="1"/>
        <v>59355.54</v>
      </c>
    </row>
    <row r="39" spans="1:8" x14ac:dyDescent="0.3">
      <c r="A39" s="82" t="s">
        <v>49</v>
      </c>
      <c r="B39" s="83">
        <v>56381.46</v>
      </c>
      <c r="C39" s="89">
        <v>74180.989999999991</v>
      </c>
      <c r="D39" s="89">
        <v>65001.94</v>
      </c>
      <c r="E39" s="89">
        <v>57842.39</v>
      </c>
      <c r="F39" s="136">
        <v>82403.38</v>
      </c>
      <c r="G39" s="136">
        <v>56965.29</v>
      </c>
      <c r="H39" s="84">
        <f t="shared" si="1"/>
        <v>57842.39</v>
      </c>
    </row>
    <row r="40" spans="1:8" x14ac:dyDescent="0.3">
      <c r="A40" s="82" t="s">
        <v>50</v>
      </c>
      <c r="B40" s="83">
        <v>82942.5</v>
      </c>
      <c r="C40" s="89">
        <v>65832.810000000012</v>
      </c>
      <c r="D40" s="89">
        <v>76592.12</v>
      </c>
      <c r="E40" s="242">
        <f>51617.44+2705.97</f>
        <v>54323.41</v>
      </c>
      <c r="F40" s="136">
        <v>61239.61</v>
      </c>
      <c r="G40" s="136">
        <v>76897.05</v>
      </c>
      <c r="H40" s="84">
        <f t="shared" si="1"/>
        <v>54323.41</v>
      </c>
    </row>
    <row r="41" spans="1:8" x14ac:dyDescent="0.3">
      <c r="A41" s="82" t="s">
        <v>51</v>
      </c>
      <c r="B41" s="83">
        <v>8491.4500000000007</v>
      </c>
      <c r="C41" s="89">
        <v>14150.91</v>
      </c>
      <c r="D41" s="89">
        <v>22004.62</v>
      </c>
      <c r="E41" s="242">
        <f>11556.94+1772.07</f>
        <v>13329.01</v>
      </c>
      <c r="F41" s="136">
        <v>12491.43</v>
      </c>
      <c r="G41" s="136">
        <v>22130.33</v>
      </c>
      <c r="H41" s="84">
        <f t="shared" si="1"/>
        <v>13329.01</v>
      </c>
    </row>
    <row r="42" spans="1:8" x14ac:dyDescent="0.3">
      <c r="A42" s="82" t="s">
        <v>52</v>
      </c>
      <c r="B42" s="83">
        <v>5538.32</v>
      </c>
      <c r="C42" s="89">
        <v>2603</v>
      </c>
      <c r="D42" s="89">
        <v>1241.3</v>
      </c>
      <c r="E42" s="89">
        <v>3704.3</v>
      </c>
      <c r="F42" s="136">
        <v>1990.43</v>
      </c>
      <c r="G42" s="136">
        <v>1667.39</v>
      </c>
      <c r="H42" s="84">
        <f t="shared" si="1"/>
        <v>3704.3</v>
      </c>
    </row>
    <row r="43" spans="1:8" x14ac:dyDescent="0.3">
      <c r="A43" s="82" t="s">
        <v>53</v>
      </c>
      <c r="B43" s="83">
        <v>5128.03</v>
      </c>
      <c r="C43" s="89">
        <v>1429.5999999999995</v>
      </c>
      <c r="D43" s="89">
        <v>4627.4799999999996</v>
      </c>
      <c r="E43" s="89">
        <v>8847.7900000000009</v>
      </c>
      <c r="F43" s="136">
        <v>0</v>
      </c>
      <c r="G43" s="136">
        <v>1129.9000000000001</v>
      </c>
      <c r="H43" s="84">
        <f t="shared" si="1"/>
        <v>8847.7900000000009</v>
      </c>
    </row>
    <row r="44" spans="1:8" x14ac:dyDescent="0.3">
      <c r="A44" s="82" t="s">
        <v>54</v>
      </c>
      <c r="B44" s="83">
        <v>34155.9</v>
      </c>
      <c r="C44" s="89">
        <v>34713.11</v>
      </c>
      <c r="D44" s="89">
        <v>32718.53</v>
      </c>
      <c r="E44" s="89">
        <v>31183.77</v>
      </c>
      <c r="F44" s="136">
        <v>33858.019999999997</v>
      </c>
      <c r="G44" s="136">
        <v>36777.79</v>
      </c>
      <c r="H44" s="84">
        <f t="shared" si="1"/>
        <v>31183.77</v>
      </c>
    </row>
    <row r="45" spans="1:8" x14ac:dyDescent="0.3">
      <c r="A45" s="82" t="s">
        <v>55</v>
      </c>
      <c r="B45" s="83">
        <v>53910.9</v>
      </c>
      <c r="C45" s="89">
        <v>46593.27</v>
      </c>
      <c r="D45" s="89">
        <v>45303.86</v>
      </c>
      <c r="E45" s="89">
        <v>48799.51</v>
      </c>
      <c r="F45" s="136">
        <v>45281.760000000002</v>
      </c>
      <c r="G45" s="136">
        <v>83456.179999999993</v>
      </c>
      <c r="H45" s="84">
        <f t="shared" si="1"/>
        <v>48799.51</v>
      </c>
    </row>
    <row r="46" spans="1:8" x14ac:dyDescent="0.3">
      <c r="A46" s="82" t="s">
        <v>56</v>
      </c>
      <c r="B46" s="83">
        <v>39286.910000000003</v>
      </c>
      <c r="C46" s="89">
        <v>36221.789999999994</v>
      </c>
      <c r="D46" s="89">
        <v>48344.02</v>
      </c>
      <c r="E46" s="89">
        <v>36285.94</v>
      </c>
      <c r="F46" s="136">
        <v>27352.98</v>
      </c>
      <c r="G46" s="136">
        <v>31814.61</v>
      </c>
      <c r="H46" s="84">
        <f t="shared" si="1"/>
        <v>36285.94</v>
      </c>
    </row>
    <row r="47" spans="1:8" x14ac:dyDescent="0.3">
      <c r="A47" s="82" t="s">
        <v>109</v>
      </c>
      <c r="B47" s="83">
        <v>232499.36000000002</v>
      </c>
      <c r="C47" s="89">
        <v>278239.52999999997</v>
      </c>
      <c r="D47" s="89">
        <v>336236.84</v>
      </c>
      <c r="E47" s="89">
        <v>192206.05</v>
      </c>
      <c r="F47" s="136">
        <v>264233.32</v>
      </c>
      <c r="G47" s="136">
        <v>241574.47</v>
      </c>
      <c r="H47" s="84">
        <f t="shared" si="1"/>
        <v>192206.05</v>
      </c>
    </row>
    <row r="48" spans="1:8" x14ac:dyDescent="0.3">
      <c r="A48" s="82" t="s">
        <v>57</v>
      </c>
      <c r="B48" s="83">
        <v>68566.899999999994</v>
      </c>
      <c r="C48" s="89">
        <v>736.79000000000178</v>
      </c>
      <c r="D48" s="89">
        <v>30959.94</v>
      </c>
      <c r="E48" s="89">
        <v>67242.84</v>
      </c>
      <c r="F48" s="136">
        <v>14831.33</v>
      </c>
      <c r="G48" s="136">
        <v>7692.92</v>
      </c>
      <c r="H48" s="84">
        <f t="shared" si="1"/>
        <v>67242.84</v>
      </c>
    </row>
    <row r="49" spans="1:8" x14ac:dyDescent="0.3">
      <c r="A49" s="82" t="s">
        <v>58</v>
      </c>
      <c r="B49" s="83">
        <v>16448.330000000002</v>
      </c>
      <c r="C49" s="89">
        <v>14055.609999999999</v>
      </c>
      <c r="D49" s="89">
        <v>23998.91</v>
      </c>
      <c r="E49" s="89">
        <v>17091.16</v>
      </c>
      <c r="F49" s="136">
        <v>12258.28</v>
      </c>
      <c r="G49" s="136">
        <v>27834.74</v>
      </c>
      <c r="H49" s="84">
        <f t="shared" si="1"/>
        <v>17091.16</v>
      </c>
    </row>
    <row r="50" spans="1:8" x14ac:dyDescent="0.3">
      <c r="A50" s="82" t="s">
        <v>59</v>
      </c>
      <c r="B50" s="83">
        <v>24583.14</v>
      </c>
      <c r="C50" s="89">
        <v>19537.41</v>
      </c>
      <c r="D50" s="89">
        <v>16726.78</v>
      </c>
      <c r="E50" s="89">
        <v>20311.75</v>
      </c>
      <c r="F50" s="136">
        <v>26998.91</v>
      </c>
      <c r="G50" s="136">
        <v>26809.68</v>
      </c>
      <c r="H50" s="84">
        <f t="shared" si="1"/>
        <v>20311.75</v>
      </c>
    </row>
    <row r="51" spans="1:8" x14ac:dyDescent="0.3">
      <c r="A51" s="82" t="s">
        <v>60</v>
      </c>
      <c r="B51" s="83">
        <v>20904.91</v>
      </c>
      <c r="C51" s="89">
        <v>26664.6</v>
      </c>
      <c r="D51" s="89">
        <v>23493.94</v>
      </c>
      <c r="E51" s="242">
        <f>13074.89-13252.27</f>
        <v>-177.38000000000102</v>
      </c>
      <c r="F51" s="136">
        <v>19305.84</v>
      </c>
      <c r="G51" s="136">
        <v>29010.799999999999</v>
      </c>
      <c r="H51" s="84">
        <f t="shared" si="1"/>
        <v>-177.38000000000102</v>
      </c>
    </row>
    <row r="52" spans="1:8" x14ac:dyDescent="0.3">
      <c r="A52" s="82" t="s">
        <v>61</v>
      </c>
      <c r="B52" s="83">
        <v>203814.29</v>
      </c>
      <c r="C52" s="89">
        <v>175929.28999999998</v>
      </c>
      <c r="D52" s="89">
        <v>156089.64000000001</v>
      </c>
      <c r="E52" s="89">
        <v>171691.71</v>
      </c>
      <c r="F52" s="136">
        <v>164330.88</v>
      </c>
      <c r="G52" s="136">
        <v>156103.99</v>
      </c>
      <c r="H52" s="84">
        <f t="shared" si="1"/>
        <v>171691.71</v>
      </c>
    </row>
    <row r="53" spans="1:8" x14ac:dyDescent="0.3">
      <c r="A53" s="82" t="s">
        <v>62</v>
      </c>
      <c r="B53" s="83">
        <v>65699.88</v>
      </c>
      <c r="C53" s="89">
        <v>59429.29</v>
      </c>
      <c r="D53" s="89">
        <v>90911.039999999994</v>
      </c>
      <c r="E53" s="89">
        <v>65934.740000000005</v>
      </c>
      <c r="F53" s="136">
        <v>65701.3</v>
      </c>
      <c r="G53" s="136">
        <v>88156.93</v>
      </c>
      <c r="H53" s="84">
        <f t="shared" si="1"/>
        <v>65934.740000000005</v>
      </c>
    </row>
    <row r="54" spans="1:8" x14ac:dyDescent="0.3">
      <c r="A54" s="82" t="s">
        <v>63</v>
      </c>
      <c r="B54" s="83">
        <v>213550.77</v>
      </c>
      <c r="C54" s="89">
        <v>232464.97</v>
      </c>
      <c r="D54" s="89">
        <v>169057.47</v>
      </c>
      <c r="E54" s="89">
        <v>218335.4</v>
      </c>
      <c r="F54" s="136">
        <v>205589.3</v>
      </c>
      <c r="G54" s="136">
        <v>162427.53</v>
      </c>
      <c r="H54" s="84">
        <f t="shared" si="1"/>
        <v>218335.4</v>
      </c>
    </row>
    <row r="55" spans="1:8" x14ac:dyDescent="0.3">
      <c r="A55" s="82" t="s">
        <v>64</v>
      </c>
      <c r="B55" s="83">
        <v>37812.69</v>
      </c>
      <c r="C55" s="89">
        <v>86962.31</v>
      </c>
      <c r="D55" s="89">
        <v>74019.929999999993</v>
      </c>
      <c r="E55" s="89">
        <v>21970.94</v>
      </c>
      <c r="F55" s="136">
        <v>89601.62</v>
      </c>
      <c r="G55" s="136">
        <v>76563.850000000006</v>
      </c>
      <c r="H55" s="84">
        <f t="shared" si="1"/>
        <v>21970.94</v>
      </c>
    </row>
    <row r="56" spans="1:8" x14ac:dyDescent="0.3">
      <c r="A56" s="82" t="s">
        <v>11</v>
      </c>
      <c r="B56" s="83">
        <v>147493.47</v>
      </c>
      <c r="C56" s="89">
        <v>154960.68</v>
      </c>
      <c r="D56" s="89">
        <v>147684.53</v>
      </c>
      <c r="E56" s="89">
        <v>169291.97</v>
      </c>
      <c r="F56" s="136">
        <v>145906.07999999999</v>
      </c>
      <c r="G56" s="136">
        <v>142879.66</v>
      </c>
      <c r="H56" s="84">
        <f t="shared" si="1"/>
        <v>169291.97</v>
      </c>
    </row>
    <row r="57" spans="1:8" x14ac:dyDescent="0.3">
      <c r="A57" s="82" t="s">
        <v>65</v>
      </c>
      <c r="B57" s="83">
        <v>89269.36</v>
      </c>
      <c r="C57" s="89">
        <v>71939.12999999999</v>
      </c>
      <c r="D57" s="89">
        <v>79553.679999999993</v>
      </c>
      <c r="E57" s="89">
        <v>114324.43</v>
      </c>
      <c r="F57" s="136">
        <v>84446.5</v>
      </c>
      <c r="G57" s="136">
        <v>73804.59</v>
      </c>
      <c r="H57" s="84">
        <f t="shared" si="1"/>
        <v>114324.43</v>
      </c>
    </row>
    <row r="58" spans="1:8" x14ac:dyDescent="0.3">
      <c r="A58" s="82" t="s">
        <v>66</v>
      </c>
      <c r="B58" s="83">
        <v>14606.32</v>
      </c>
      <c r="C58" s="89">
        <v>19783.52</v>
      </c>
      <c r="D58" s="89">
        <v>33564.36</v>
      </c>
      <c r="E58" s="89">
        <v>21114.3</v>
      </c>
      <c r="F58" s="136">
        <v>14727.45</v>
      </c>
      <c r="G58" s="136">
        <v>26211.69</v>
      </c>
      <c r="H58" s="84">
        <f t="shared" si="1"/>
        <v>21114.3</v>
      </c>
    </row>
    <row r="59" spans="1:8" x14ac:dyDescent="0.3">
      <c r="A59" s="82" t="s">
        <v>67</v>
      </c>
      <c r="B59" s="83">
        <v>50047.8</v>
      </c>
      <c r="C59" s="89">
        <v>31580.16</v>
      </c>
      <c r="D59" s="89">
        <v>7632.4</v>
      </c>
      <c r="E59" s="242">
        <f>74015.48-44321.51</f>
        <v>29693.969999999994</v>
      </c>
      <c r="F59" s="136">
        <v>30262.79</v>
      </c>
      <c r="G59" s="136">
        <v>10754.3</v>
      </c>
      <c r="H59" s="84">
        <f t="shared" si="1"/>
        <v>29693.969999999994</v>
      </c>
    </row>
    <row r="60" spans="1:8" x14ac:dyDescent="0.3">
      <c r="A60" s="82" t="s">
        <v>68</v>
      </c>
      <c r="B60" s="83">
        <v>83402.94</v>
      </c>
      <c r="C60" s="89">
        <v>87930.68</v>
      </c>
      <c r="D60" s="89">
        <v>96716.42</v>
      </c>
      <c r="E60" s="89">
        <v>86760.53</v>
      </c>
      <c r="F60" s="136">
        <v>80269.38</v>
      </c>
      <c r="G60" s="136">
        <v>92531.89</v>
      </c>
      <c r="H60" s="84">
        <f t="shared" si="1"/>
        <v>86760.53</v>
      </c>
    </row>
    <row r="61" spans="1:8" x14ac:dyDescent="0.3">
      <c r="A61" s="82" t="s">
        <v>69</v>
      </c>
      <c r="B61" s="83">
        <v>90447.39</v>
      </c>
      <c r="C61" s="89">
        <v>52675.56</v>
      </c>
      <c r="D61" s="89">
        <v>18143.150000000001</v>
      </c>
      <c r="E61" s="89">
        <v>99367.59</v>
      </c>
      <c r="F61" s="136">
        <v>51502.2</v>
      </c>
      <c r="G61" s="136">
        <v>53240.25</v>
      </c>
      <c r="H61" s="84">
        <f t="shared" si="1"/>
        <v>99367.59</v>
      </c>
    </row>
    <row r="62" spans="1:8" x14ac:dyDescent="0.3">
      <c r="A62" s="82" t="s">
        <v>111</v>
      </c>
      <c r="B62" s="83">
        <v>24015.17</v>
      </c>
      <c r="C62" s="89">
        <v>12473.5</v>
      </c>
      <c r="D62" s="89">
        <v>14614.4</v>
      </c>
      <c r="E62" s="242">
        <f>30191.04-13694.36</f>
        <v>16496.68</v>
      </c>
      <c r="F62" s="136">
        <v>12057.48</v>
      </c>
      <c r="G62" s="136">
        <v>10961.17</v>
      </c>
      <c r="H62" s="84">
        <f t="shared" si="1"/>
        <v>16496.68</v>
      </c>
    </row>
    <row r="63" spans="1:8" x14ac:dyDescent="0.3">
      <c r="A63" s="82" t="s">
        <v>113</v>
      </c>
      <c r="B63" s="83">
        <v>60569.66</v>
      </c>
      <c r="C63" s="89">
        <v>75067.259999999995</v>
      </c>
      <c r="D63" s="89">
        <v>114278.14</v>
      </c>
      <c r="E63" s="89">
        <v>38890.120000000003</v>
      </c>
      <c r="F63" s="136">
        <v>47646.53</v>
      </c>
      <c r="G63" s="136">
        <v>117784.77</v>
      </c>
      <c r="H63" s="84">
        <f t="shared" si="1"/>
        <v>38890.120000000003</v>
      </c>
    </row>
    <row r="64" spans="1:8" x14ac:dyDescent="0.3">
      <c r="A64" s="82" t="s">
        <v>71</v>
      </c>
      <c r="B64" s="83">
        <v>15961.26</v>
      </c>
      <c r="C64" s="89">
        <v>19181.98</v>
      </c>
      <c r="D64" s="89">
        <v>18620.099999999999</v>
      </c>
      <c r="E64" s="242">
        <f>15982.01-0.01</f>
        <v>15982</v>
      </c>
      <c r="F64" s="136">
        <v>19320.939999999999</v>
      </c>
      <c r="G64" s="136">
        <v>22843.27</v>
      </c>
      <c r="H64" s="84">
        <f t="shared" si="1"/>
        <v>15982</v>
      </c>
    </row>
    <row r="65" spans="1:9" x14ac:dyDescent="0.3">
      <c r="A65" s="82" t="s">
        <v>72</v>
      </c>
      <c r="B65" s="83">
        <v>3648.83</v>
      </c>
      <c r="C65" s="89">
        <v>8055.2099999999991</v>
      </c>
      <c r="D65" s="89">
        <v>7161.94</v>
      </c>
      <c r="E65" s="89">
        <v>3819.2</v>
      </c>
      <c r="F65" s="136">
        <v>6187.79</v>
      </c>
      <c r="G65" s="136">
        <v>7058.38</v>
      </c>
      <c r="H65" s="84">
        <f t="shared" si="1"/>
        <v>3819.2</v>
      </c>
    </row>
    <row r="66" spans="1:9" x14ac:dyDescent="0.3">
      <c r="A66" s="82" t="s">
        <v>73</v>
      </c>
      <c r="B66" s="83">
        <v>3413.07</v>
      </c>
      <c r="C66" s="89">
        <v>2035.78</v>
      </c>
      <c r="D66" s="89">
        <v>2630.51</v>
      </c>
      <c r="E66" s="242">
        <f>5189.56-1884.24</f>
        <v>3305.3200000000006</v>
      </c>
      <c r="F66" s="136">
        <v>2011.58</v>
      </c>
      <c r="G66" s="136">
        <v>4769.29</v>
      </c>
      <c r="H66" s="84">
        <f t="shared" si="1"/>
        <v>3305.3200000000006</v>
      </c>
    </row>
    <row r="67" spans="1:9" x14ac:dyDescent="0.3">
      <c r="A67" s="82" t="s">
        <v>74</v>
      </c>
      <c r="B67" s="83">
        <v>1781.45</v>
      </c>
      <c r="C67" s="89">
        <v>0</v>
      </c>
      <c r="D67" s="89">
        <v>9431.6299999999992</v>
      </c>
      <c r="E67" s="89">
        <v>0</v>
      </c>
      <c r="F67" s="136">
        <v>0</v>
      </c>
      <c r="G67" s="136">
        <v>3939.27</v>
      </c>
      <c r="H67" s="84">
        <f t="shared" si="1"/>
        <v>0</v>
      </c>
    </row>
    <row r="68" spans="1:9" x14ac:dyDescent="0.3">
      <c r="A68" s="82" t="s">
        <v>75</v>
      </c>
      <c r="B68" s="83">
        <v>88725.81</v>
      </c>
      <c r="C68" s="89">
        <v>81449.78</v>
      </c>
      <c r="D68" s="89">
        <v>65427.14</v>
      </c>
      <c r="E68" s="89">
        <v>54578.01</v>
      </c>
      <c r="F68" s="136">
        <v>86216.99</v>
      </c>
      <c r="G68" s="136">
        <v>52051.02</v>
      </c>
      <c r="H68" s="84">
        <f t="shared" si="1"/>
        <v>54578.01</v>
      </c>
    </row>
    <row r="69" spans="1:9" x14ac:dyDescent="0.3">
      <c r="A69" s="82" t="s">
        <v>76</v>
      </c>
      <c r="B69" s="83">
        <v>10334.64</v>
      </c>
      <c r="C69" s="89">
        <v>7800.39</v>
      </c>
      <c r="D69" s="89">
        <v>7901.66</v>
      </c>
      <c r="E69" s="89">
        <v>11913.51</v>
      </c>
      <c r="F69" s="136">
        <v>11643.36</v>
      </c>
      <c r="G69" s="136">
        <v>3916.37</v>
      </c>
      <c r="H69" s="84">
        <f t="shared" si="1"/>
        <v>11913.51</v>
      </c>
    </row>
    <row r="70" spans="1:9" x14ac:dyDescent="0.3">
      <c r="A70" s="82" t="s">
        <v>77</v>
      </c>
      <c r="B70" s="83">
        <v>8226.2199999999993</v>
      </c>
      <c r="C70" s="89">
        <v>14939.36</v>
      </c>
      <c r="D70" s="89">
        <v>16434.45</v>
      </c>
      <c r="E70" s="89">
        <v>13132.85</v>
      </c>
      <c r="F70" s="136">
        <v>9679.6</v>
      </c>
      <c r="G70" s="136">
        <v>21223.54</v>
      </c>
      <c r="H70" s="84">
        <f t="shared" si="1"/>
        <v>13132.85</v>
      </c>
    </row>
    <row r="71" spans="1:9" ht="16.5" thickBot="1" x14ac:dyDescent="0.35">
      <c r="A71" s="85" t="s">
        <v>78</v>
      </c>
      <c r="B71" s="86">
        <v>8405.48</v>
      </c>
      <c r="C71" s="90">
        <v>9778.4599999999991</v>
      </c>
      <c r="D71" s="90">
        <v>9066.2000000000007</v>
      </c>
      <c r="E71" s="90">
        <v>13058.66</v>
      </c>
      <c r="F71" s="137">
        <v>10212.27</v>
      </c>
      <c r="G71" s="137">
        <v>9259.75</v>
      </c>
      <c r="H71" s="91">
        <f t="shared" si="1"/>
        <v>13058.66</v>
      </c>
    </row>
    <row r="72" spans="1:9" ht="17.25" thickTop="1" thickBot="1" x14ac:dyDescent="0.35">
      <c r="A72" s="87" t="s">
        <v>202</v>
      </c>
      <c r="B72" s="88">
        <f>SUM(B5:B71)</f>
        <v>3127549.6999999997</v>
      </c>
      <c r="C72" s="88">
        <f t="shared" ref="C72:H72" si="2">SUM(C5:C71)</f>
        <v>2924999.9900000007</v>
      </c>
      <c r="D72" s="88">
        <f t="shared" si="2"/>
        <v>2924970.9500000011</v>
      </c>
      <c r="E72" s="88">
        <f t="shared" si="2"/>
        <v>2852689.2</v>
      </c>
      <c r="F72" s="88">
        <f t="shared" si="2"/>
        <v>2925014.0100000007</v>
      </c>
      <c r="G72" s="88">
        <f t="shared" si="2"/>
        <v>2924999.9999999995</v>
      </c>
      <c r="H72" s="88">
        <f t="shared" si="2"/>
        <v>2852689.2</v>
      </c>
      <c r="I72" s="62"/>
    </row>
  </sheetData>
  <conditionalFormatting sqref="C5:D71 F5:G71">
    <cfRule type="expression" dxfId="3" priority="4">
      <formula>MOD(ROW(),2)=1</formula>
    </cfRule>
  </conditionalFormatting>
  <conditionalFormatting sqref="E5 E7:E10 E13:E20 E22:E71">
    <cfRule type="expression" dxfId="2" priority="3">
      <formula>MOD(ROW(),2)=1</formula>
    </cfRule>
  </conditionalFormatting>
  <conditionalFormatting sqref="E12">
    <cfRule type="expression" dxfId="1" priority="2">
      <formula>MOD(ROW(),2)=1</formula>
    </cfRule>
  </conditionalFormatting>
  <conditionalFormatting sqref="E21">
    <cfRule type="expression" dxfId="0" priority="1">
      <formula>MOD(ROW(),2)=1</formula>
    </cfRule>
  </conditionalFormatting>
  <pageMargins left="0.25" right="0.25" top="0.75" bottom="0.75" header="0.3" footer="0.3"/>
  <pageSetup scale="57" fitToHeight="0" orientation="portrait" r:id="rId1"/>
  <rowBreaks count="1" manualBreakCount="1">
    <brk id="42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Q70"/>
  <sheetViews>
    <sheetView zoomScale="80" zoomScaleNormal="80" workbookViewId="0">
      <pane xSplit="1" ySplit="2" topLeftCell="B33" activePane="bottomRight" state="frozen"/>
      <selection pane="topRight" activeCell="B1" sqref="B1"/>
      <selection pane="bottomLeft" activeCell="A3" sqref="A3"/>
      <selection pane="bottomRight" activeCell="A17" sqref="A17"/>
    </sheetView>
  </sheetViews>
  <sheetFormatPr defaultRowHeight="15.75" x14ac:dyDescent="0.3"/>
  <cols>
    <col min="1" max="1" width="9.88671875" bestFit="1" customWidth="1"/>
    <col min="2" max="2" width="8.77734375" bestFit="1" customWidth="1"/>
    <col min="3" max="3" width="9.33203125" bestFit="1" customWidth="1"/>
    <col min="4" max="4" width="7.21875" bestFit="1" customWidth="1"/>
    <col min="5" max="5" width="9.44140625" bestFit="1" customWidth="1"/>
    <col min="6" max="6" width="19.88671875" bestFit="1" customWidth="1"/>
    <col min="7" max="7" width="8.33203125" bestFit="1" customWidth="1"/>
    <col min="8" max="8" width="19" bestFit="1" customWidth="1"/>
    <col min="9" max="10" width="13.33203125" bestFit="1" customWidth="1"/>
    <col min="11" max="11" width="15.21875" bestFit="1" customWidth="1"/>
    <col min="12" max="12" width="16" style="97" bestFit="1" customWidth="1"/>
    <col min="13" max="13" width="15.21875" bestFit="1" customWidth="1"/>
    <col min="14" max="14" width="13.33203125" bestFit="1" customWidth="1"/>
    <col min="15" max="15" width="14" customWidth="1"/>
    <col min="16" max="16" width="13.33203125" style="238" bestFit="1" customWidth="1"/>
  </cols>
  <sheetData>
    <row r="1" spans="1:16" ht="46.5" customHeight="1" x14ac:dyDescent="0.3">
      <c r="A1" s="100" t="s">
        <v>253</v>
      </c>
      <c r="B1" s="102">
        <v>0.2</v>
      </c>
      <c r="C1" s="100" t="s">
        <v>254</v>
      </c>
      <c r="D1" s="101" t="s">
        <v>251</v>
      </c>
      <c r="F1" s="100" t="s">
        <v>256</v>
      </c>
      <c r="G1" s="98">
        <f>IFERROR(INDEX(N3:N69,MATCH(Estimate!D4,PriorActualsData!A3:A69,0)),0)</f>
        <v>0</v>
      </c>
      <c r="H1" s="100" t="s">
        <v>255</v>
      </c>
      <c r="I1" s="103">
        <f>IFERROR(ROUND((Estimate!F48-G1)/G1,4),0)</f>
        <v>0</v>
      </c>
    </row>
    <row r="2" spans="1:16" ht="27.75" x14ac:dyDescent="0.3">
      <c r="A2" s="99" t="s">
        <v>232</v>
      </c>
      <c r="B2" s="99" t="s">
        <v>104</v>
      </c>
      <c r="C2" s="99" t="s">
        <v>144</v>
      </c>
      <c r="D2" s="99" t="s">
        <v>160</v>
      </c>
      <c r="E2" s="99" t="s">
        <v>248</v>
      </c>
      <c r="F2" s="99" t="s">
        <v>249</v>
      </c>
      <c r="G2" s="99" t="s">
        <v>250</v>
      </c>
      <c r="H2" s="99" t="s">
        <v>288</v>
      </c>
      <c r="I2" s="258" t="s">
        <v>289</v>
      </c>
      <c r="J2" s="258" t="s">
        <v>290</v>
      </c>
      <c r="K2" s="258" t="s">
        <v>291</v>
      </c>
      <c r="L2" s="257" t="s">
        <v>329</v>
      </c>
      <c r="M2" s="95" t="s">
        <v>251</v>
      </c>
      <c r="N2" s="96" t="s">
        <v>252</v>
      </c>
    </row>
    <row r="3" spans="1:16" x14ac:dyDescent="0.3">
      <c r="A3" s="134" t="s">
        <v>16</v>
      </c>
      <c r="B3" s="97">
        <v>1</v>
      </c>
      <c r="C3" s="97">
        <v>18</v>
      </c>
      <c r="D3" s="97" t="s">
        <v>179</v>
      </c>
      <c r="E3" s="97" t="s">
        <v>163</v>
      </c>
      <c r="F3" s="97" t="s">
        <v>178</v>
      </c>
      <c r="G3" s="97" t="s">
        <v>165</v>
      </c>
      <c r="H3" s="114">
        <v>50673.770000000004</v>
      </c>
      <c r="I3" s="114">
        <v>50311.35</v>
      </c>
      <c r="J3" s="114">
        <v>49140.28</v>
      </c>
      <c r="K3" s="114">
        <v>50678.62</v>
      </c>
      <c r="L3" s="114">
        <f>VLOOKUP($A3,JuryHD,'Lookup_OverUnderExpended_8-6-19'!$BS$1,FALSE)</f>
        <v>48782.080000000002</v>
      </c>
      <c r="M3" s="117">
        <f>ROUND(AVERAGE(I3:L3),2)</f>
        <v>49728.08</v>
      </c>
      <c r="N3" s="98">
        <f t="shared" ref="N3:N34" si="0">IF(D$1="Average",M3,K3)</f>
        <v>49728.08</v>
      </c>
      <c r="O3" s="114"/>
      <c r="P3" s="239"/>
    </row>
    <row r="4" spans="1:16" x14ac:dyDescent="0.3">
      <c r="A4" s="134" t="s">
        <v>17</v>
      </c>
      <c r="B4" s="97">
        <v>2</v>
      </c>
      <c r="C4" s="97">
        <v>18</v>
      </c>
      <c r="D4" s="97" t="s">
        <v>179</v>
      </c>
      <c r="E4" s="97" t="s">
        <v>163</v>
      </c>
      <c r="F4" s="97" t="s">
        <v>178</v>
      </c>
      <c r="G4" s="97" t="s">
        <v>165</v>
      </c>
      <c r="H4" s="114">
        <v>10425.119999999999</v>
      </c>
      <c r="I4" s="114">
        <v>10382.91</v>
      </c>
      <c r="J4" s="114">
        <v>6598.0400000000009</v>
      </c>
      <c r="K4" s="114">
        <v>9613.49</v>
      </c>
      <c r="L4" s="114">
        <f>VLOOKUP($A4,JuryHD,'Lookup_OverUnderExpended_8-6-19'!$BS$1,FALSE)</f>
        <v>10102.23</v>
      </c>
      <c r="M4" s="117">
        <f t="shared" ref="M4:M67" si="1">ROUND(AVERAGE(I4:L4),2)</f>
        <v>9174.17</v>
      </c>
      <c r="N4" s="98">
        <f t="shared" si="0"/>
        <v>9174.17</v>
      </c>
      <c r="O4" s="114"/>
      <c r="P4" s="239"/>
    </row>
    <row r="5" spans="1:16" x14ac:dyDescent="0.3">
      <c r="A5" s="134" t="s">
        <v>18</v>
      </c>
      <c r="B5" s="97">
        <v>3</v>
      </c>
      <c r="C5" s="97">
        <v>18</v>
      </c>
      <c r="D5" s="97" t="s">
        <v>179</v>
      </c>
      <c r="E5" s="97" t="s">
        <v>163</v>
      </c>
      <c r="F5" s="97" t="s">
        <v>178</v>
      </c>
      <c r="G5" s="97" t="s">
        <v>165</v>
      </c>
      <c r="H5" s="114">
        <v>54187.15</v>
      </c>
      <c r="I5" s="114">
        <v>54942.36</v>
      </c>
      <c r="J5" s="114">
        <v>21253.89</v>
      </c>
      <c r="K5" s="114">
        <v>42984.22</v>
      </c>
      <c r="L5" s="114">
        <f>VLOOKUP($A5,JuryHD,'Lookup_OverUnderExpended_8-6-19'!$BS$1,FALSE)</f>
        <v>51560.6</v>
      </c>
      <c r="M5" s="117">
        <f t="shared" si="1"/>
        <v>42685.27</v>
      </c>
      <c r="N5" s="98">
        <f t="shared" si="0"/>
        <v>42685.27</v>
      </c>
      <c r="O5" s="114"/>
      <c r="P5" s="239"/>
    </row>
    <row r="6" spans="1:16" x14ac:dyDescent="0.3">
      <c r="A6" s="134" t="s">
        <v>81</v>
      </c>
      <c r="B6" s="97">
        <v>4</v>
      </c>
      <c r="C6" s="97">
        <v>18</v>
      </c>
      <c r="D6" s="97" t="s">
        <v>179</v>
      </c>
      <c r="E6" s="97" t="s">
        <v>163</v>
      </c>
      <c r="F6" s="97" t="s">
        <v>178</v>
      </c>
      <c r="G6" s="97" t="s">
        <v>165</v>
      </c>
      <c r="H6" s="114">
        <v>5005.3600000000006</v>
      </c>
      <c r="I6" s="114">
        <v>5703.2</v>
      </c>
      <c r="J6" s="114">
        <v>5152.8899999999994</v>
      </c>
      <c r="K6" s="114">
        <v>6738.5399999999991</v>
      </c>
      <c r="L6" s="114">
        <f>VLOOKUP($A6,JuryHD,'Lookup_OverUnderExpended_8-6-19'!$BS$1,FALSE)</f>
        <v>4923.24</v>
      </c>
      <c r="M6" s="117">
        <f t="shared" si="1"/>
        <v>5629.47</v>
      </c>
      <c r="N6" s="98">
        <f t="shared" si="0"/>
        <v>5629.47</v>
      </c>
      <c r="O6" s="114"/>
      <c r="P6" s="239"/>
    </row>
    <row r="7" spans="1:16" x14ac:dyDescent="0.3">
      <c r="A7" s="134" t="s">
        <v>19</v>
      </c>
      <c r="B7" s="97">
        <v>5</v>
      </c>
      <c r="C7" s="97">
        <v>18</v>
      </c>
      <c r="D7" s="97" t="s">
        <v>179</v>
      </c>
      <c r="E7" s="97" t="s">
        <v>163</v>
      </c>
      <c r="F7" s="97" t="s">
        <v>178</v>
      </c>
      <c r="G7" s="97" t="s">
        <v>165</v>
      </c>
      <c r="H7" s="114">
        <v>117662.37</v>
      </c>
      <c r="I7" s="114">
        <v>78032.289999999994</v>
      </c>
      <c r="J7" s="114">
        <v>105145.98000000001</v>
      </c>
      <c r="K7" s="114">
        <v>100549.57</v>
      </c>
      <c r="L7" s="114">
        <f>VLOOKUP($A7,JuryHD,'Lookup_OverUnderExpended_8-6-19'!$BS$1,FALSE)</f>
        <v>107825.48999999999</v>
      </c>
      <c r="M7" s="117">
        <f t="shared" si="1"/>
        <v>97888.33</v>
      </c>
      <c r="N7" s="98">
        <f t="shared" si="0"/>
        <v>97888.33</v>
      </c>
      <c r="O7" s="114"/>
      <c r="P7" s="239"/>
    </row>
    <row r="8" spans="1:16" x14ac:dyDescent="0.3">
      <c r="A8" s="134" t="s">
        <v>20</v>
      </c>
      <c r="B8" s="97">
        <v>6</v>
      </c>
      <c r="C8" s="97">
        <v>18</v>
      </c>
      <c r="D8" s="97" t="s">
        <v>179</v>
      </c>
      <c r="E8" s="97" t="s">
        <v>163</v>
      </c>
      <c r="F8" s="97" t="s">
        <v>178</v>
      </c>
      <c r="G8" s="97" t="s">
        <v>165</v>
      </c>
      <c r="H8" s="114">
        <v>214294.99</v>
      </c>
      <c r="I8" s="114">
        <v>221648.15000000002</v>
      </c>
      <c r="J8" s="114">
        <v>234744.9</v>
      </c>
      <c r="K8" s="114">
        <v>247621.26</v>
      </c>
      <c r="L8" s="114">
        <f>VLOOKUP($A8,JuryHD,'Lookup_OverUnderExpended_8-6-19'!$BS$1,FALSE)</f>
        <v>232819.71</v>
      </c>
      <c r="M8" s="117">
        <f t="shared" si="1"/>
        <v>234208.51</v>
      </c>
      <c r="N8" s="98">
        <f t="shared" si="0"/>
        <v>234208.51</v>
      </c>
      <c r="O8" s="114"/>
      <c r="P8" s="239"/>
    </row>
    <row r="9" spans="1:16" x14ac:dyDescent="0.3">
      <c r="A9" s="134" t="s">
        <v>21</v>
      </c>
      <c r="B9" s="97">
        <v>7</v>
      </c>
      <c r="C9" s="97">
        <v>18</v>
      </c>
      <c r="D9" s="97" t="s">
        <v>179</v>
      </c>
      <c r="E9" s="97" t="s">
        <v>163</v>
      </c>
      <c r="F9" s="97" t="s">
        <v>178</v>
      </c>
      <c r="G9" s="97" t="s">
        <v>165</v>
      </c>
      <c r="H9" s="114">
        <v>1859.8</v>
      </c>
      <c r="I9" s="114">
        <v>2246.46</v>
      </c>
      <c r="J9" s="114">
        <v>1317.49</v>
      </c>
      <c r="K9" s="114">
        <v>1885.72</v>
      </c>
      <c r="L9" s="114">
        <f>VLOOKUP($A9,JuryHD,'Lookup_OverUnderExpended_8-6-19'!$BS$1,FALSE)</f>
        <v>1572.37</v>
      </c>
      <c r="M9" s="117">
        <f t="shared" si="1"/>
        <v>1755.51</v>
      </c>
      <c r="N9" s="98">
        <f t="shared" si="0"/>
        <v>1755.51</v>
      </c>
      <c r="O9" s="114"/>
      <c r="P9" s="239"/>
    </row>
    <row r="10" spans="1:16" x14ac:dyDescent="0.3">
      <c r="A10" s="134" t="s">
        <v>22</v>
      </c>
      <c r="B10" s="97">
        <v>8</v>
      </c>
      <c r="C10" s="97">
        <v>18</v>
      </c>
      <c r="D10" s="97" t="s">
        <v>179</v>
      </c>
      <c r="E10" s="97" t="s">
        <v>163</v>
      </c>
      <c r="F10" s="97" t="s">
        <v>178</v>
      </c>
      <c r="G10" s="97" t="s">
        <v>165</v>
      </c>
      <c r="H10" s="114">
        <v>33562.51</v>
      </c>
      <c r="I10" s="114">
        <v>40580.46</v>
      </c>
      <c r="J10" s="114">
        <v>37858.81</v>
      </c>
      <c r="K10" s="114">
        <v>35273.179999999993</v>
      </c>
      <c r="L10" s="114">
        <f>VLOOKUP($A10,JuryHD,'Lookup_OverUnderExpended_8-6-19'!$BS$1,FALSE)</f>
        <v>40654.21</v>
      </c>
      <c r="M10" s="117">
        <f t="shared" si="1"/>
        <v>38591.67</v>
      </c>
      <c r="N10" s="98">
        <f t="shared" si="0"/>
        <v>38591.67</v>
      </c>
      <c r="O10" s="114"/>
      <c r="P10" s="239"/>
    </row>
    <row r="11" spans="1:16" x14ac:dyDescent="0.3">
      <c r="A11" s="134" t="s">
        <v>23</v>
      </c>
      <c r="B11" s="97">
        <v>9</v>
      </c>
      <c r="C11" s="97">
        <v>18</v>
      </c>
      <c r="D11" s="97" t="s">
        <v>179</v>
      </c>
      <c r="E11" s="97" t="s">
        <v>163</v>
      </c>
      <c r="F11" s="97" t="s">
        <v>178</v>
      </c>
      <c r="G11" s="97" t="s">
        <v>165</v>
      </c>
      <c r="H11" s="114">
        <v>19562.379999999997</v>
      </c>
      <c r="I11" s="114">
        <v>19019.300000000003</v>
      </c>
      <c r="J11" s="114">
        <v>18839.47</v>
      </c>
      <c r="K11" s="114">
        <v>21087.279999999999</v>
      </c>
      <c r="L11" s="114">
        <f>VLOOKUP($A11,JuryHD,'Lookup_OverUnderExpended_8-6-19'!$BS$1,FALSE)</f>
        <v>18055.59</v>
      </c>
      <c r="M11" s="117">
        <f t="shared" si="1"/>
        <v>19250.41</v>
      </c>
      <c r="N11" s="98">
        <f t="shared" si="0"/>
        <v>19250.41</v>
      </c>
      <c r="O11" s="114"/>
      <c r="P11" s="239"/>
    </row>
    <row r="12" spans="1:16" x14ac:dyDescent="0.3">
      <c r="A12" s="134" t="s">
        <v>24</v>
      </c>
      <c r="B12" s="97">
        <v>10</v>
      </c>
      <c r="C12" s="97">
        <v>18</v>
      </c>
      <c r="D12" s="97" t="s">
        <v>179</v>
      </c>
      <c r="E12" s="97" t="s">
        <v>163</v>
      </c>
      <c r="F12" s="97" t="s">
        <v>178</v>
      </c>
      <c r="G12" s="97" t="s">
        <v>165</v>
      </c>
      <c r="H12" s="114">
        <v>18214.75</v>
      </c>
      <c r="I12" s="114">
        <v>14421.2</v>
      </c>
      <c r="J12" s="114">
        <v>15332.36</v>
      </c>
      <c r="K12" s="114">
        <v>13387.68</v>
      </c>
      <c r="L12" s="114">
        <f>VLOOKUP($A12,JuryHD,'Lookup_OverUnderExpended_8-6-19'!$BS$1,FALSE)</f>
        <v>17065.91</v>
      </c>
      <c r="M12" s="117">
        <f t="shared" si="1"/>
        <v>15051.79</v>
      </c>
      <c r="N12" s="98">
        <f t="shared" si="0"/>
        <v>15051.79</v>
      </c>
      <c r="O12" s="114"/>
      <c r="P12" s="239"/>
    </row>
    <row r="13" spans="1:16" x14ac:dyDescent="0.3">
      <c r="A13" s="134" t="s">
        <v>25</v>
      </c>
      <c r="B13" s="97">
        <v>11</v>
      </c>
      <c r="C13" s="97">
        <v>18</v>
      </c>
      <c r="D13" s="97" t="s">
        <v>179</v>
      </c>
      <c r="E13" s="97" t="s">
        <v>163</v>
      </c>
      <c r="F13" s="97" t="s">
        <v>178</v>
      </c>
      <c r="G13" s="97" t="s">
        <v>165</v>
      </c>
      <c r="H13" s="114">
        <v>63568.57</v>
      </c>
      <c r="I13" s="114">
        <v>59919.47</v>
      </c>
      <c r="J13" s="114">
        <v>51964.58</v>
      </c>
      <c r="K13" s="114">
        <v>64337.25</v>
      </c>
      <c r="L13" s="114">
        <f>VLOOKUP($A13,JuryHD,'Lookup_OverUnderExpended_8-6-19'!$BS$1,FALSE)</f>
        <v>70851.569999999992</v>
      </c>
      <c r="M13" s="117">
        <f t="shared" si="1"/>
        <v>61768.22</v>
      </c>
      <c r="N13" s="98">
        <f t="shared" si="0"/>
        <v>61768.22</v>
      </c>
      <c r="O13" s="114"/>
      <c r="P13" s="239"/>
    </row>
    <row r="14" spans="1:16" x14ac:dyDescent="0.3">
      <c r="A14" s="134" t="s">
        <v>26</v>
      </c>
      <c r="B14" s="97">
        <v>12</v>
      </c>
      <c r="C14" s="97">
        <v>18</v>
      </c>
      <c r="D14" s="97" t="s">
        <v>179</v>
      </c>
      <c r="E14" s="97" t="s">
        <v>163</v>
      </c>
      <c r="F14" s="97" t="s">
        <v>178</v>
      </c>
      <c r="G14" s="97" t="s">
        <v>165</v>
      </c>
      <c r="H14" s="114">
        <v>20315.689999999999</v>
      </c>
      <c r="I14" s="114">
        <v>13797.300000000001</v>
      </c>
      <c r="J14" s="114">
        <v>12108.890000000001</v>
      </c>
      <c r="K14" s="114">
        <v>13147.400000000001</v>
      </c>
      <c r="L14" s="114">
        <f>VLOOKUP($A14,JuryHD,'Lookup_OverUnderExpended_8-6-19'!$BS$1,FALSE)</f>
        <v>12919.21</v>
      </c>
      <c r="M14" s="117">
        <f t="shared" si="1"/>
        <v>12993.2</v>
      </c>
      <c r="N14" s="98">
        <f t="shared" si="0"/>
        <v>12993.2</v>
      </c>
      <c r="O14" s="114"/>
      <c r="P14" s="239"/>
    </row>
    <row r="15" spans="1:16" x14ac:dyDescent="0.3">
      <c r="A15" s="134" t="s">
        <v>109</v>
      </c>
      <c r="B15" s="97">
        <v>13</v>
      </c>
      <c r="C15" s="97">
        <v>18</v>
      </c>
      <c r="D15" s="97" t="s">
        <v>179</v>
      </c>
      <c r="E15" s="97" t="s">
        <v>163</v>
      </c>
      <c r="F15" s="97" t="s">
        <v>178</v>
      </c>
      <c r="G15" s="97" t="s">
        <v>165</v>
      </c>
      <c r="H15" s="114">
        <v>276063.28000000003</v>
      </c>
      <c r="I15" s="114">
        <v>260363.22</v>
      </c>
      <c r="J15" s="114">
        <v>252887.05</v>
      </c>
      <c r="K15" s="114">
        <v>282151.55</v>
      </c>
      <c r="L15" s="114">
        <f>VLOOKUP($A15,JuryHD,'Lookup_OverUnderExpended_8-6-19'!$BS$1,FALSE)</f>
        <v>292165.16000000003</v>
      </c>
      <c r="M15" s="117">
        <f t="shared" si="1"/>
        <v>271891.75</v>
      </c>
      <c r="N15" s="98">
        <f t="shared" si="0"/>
        <v>271891.75</v>
      </c>
      <c r="O15" s="114"/>
      <c r="P15" s="239"/>
    </row>
    <row r="16" spans="1:16" x14ac:dyDescent="0.3">
      <c r="A16" s="134" t="s">
        <v>193</v>
      </c>
      <c r="B16" s="97">
        <v>14</v>
      </c>
      <c r="C16" s="97">
        <v>18</v>
      </c>
      <c r="D16" s="97" t="s">
        <v>179</v>
      </c>
      <c r="E16" s="97" t="s">
        <v>163</v>
      </c>
      <c r="F16" s="97" t="s">
        <v>178</v>
      </c>
      <c r="G16" s="97" t="s">
        <v>165</v>
      </c>
      <c r="H16" s="114">
        <v>7794.73</v>
      </c>
      <c r="I16" s="114">
        <v>7951.15</v>
      </c>
      <c r="J16" s="114">
        <v>7718.5999999999995</v>
      </c>
      <c r="K16" s="114">
        <v>6379.75</v>
      </c>
      <c r="L16" s="114">
        <f>VLOOKUP($A16,JuryHD,'Lookup_OverUnderExpended_8-6-19'!$BS$1,FALSE)</f>
        <v>9080.68</v>
      </c>
      <c r="M16" s="117">
        <f t="shared" si="1"/>
        <v>7782.55</v>
      </c>
      <c r="N16" s="98">
        <f t="shared" si="0"/>
        <v>7782.55</v>
      </c>
      <c r="O16" s="114"/>
      <c r="P16" s="239"/>
    </row>
    <row r="17" spans="1:16" x14ac:dyDescent="0.3">
      <c r="A17" s="134" t="s">
        <v>28</v>
      </c>
      <c r="B17" s="97">
        <v>15</v>
      </c>
      <c r="C17" s="97">
        <v>18</v>
      </c>
      <c r="D17" s="97" t="s">
        <v>179</v>
      </c>
      <c r="E17" s="97" t="s">
        <v>163</v>
      </c>
      <c r="F17" s="97" t="s">
        <v>178</v>
      </c>
      <c r="G17" s="97" t="s">
        <v>165</v>
      </c>
      <c r="H17" s="114">
        <v>0</v>
      </c>
      <c r="I17" s="114">
        <v>0</v>
      </c>
      <c r="J17" s="114">
        <v>6239.78</v>
      </c>
      <c r="K17" s="114">
        <v>0</v>
      </c>
      <c r="L17" s="114">
        <f>VLOOKUP($A17,JuryHD,'Lookup_OverUnderExpended_8-6-19'!$BS$1,FALSE)</f>
        <v>4914.3999999999996</v>
      </c>
      <c r="M17" s="117">
        <f t="shared" si="1"/>
        <v>2788.55</v>
      </c>
      <c r="N17" s="98">
        <f t="shared" si="0"/>
        <v>2788.55</v>
      </c>
      <c r="O17" s="114"/>
      <c r="P17" s="239"/>
    </row>
    <row r="18" spans="1:16" x14ac:dyDescent="0.3">
      <c r="A18" s="134" t="s">
        <v>29</v>
      </c>
      <c r="B18" s="97">
        <v>16</v>
      </c>
      <c r="C18" s="97">
        <v>18</v>
      </c>
      <c r="D18" s="97" t="s">
        <v>179</v>
      </c>
      <c r="E18" s="97" t="s">
        <v>163</v>
      </c>
      <c r="F18" s="97" t="s">
        <v>178</v>
      </c>
      <c r="G18" s="97" t="s">
        <v>165</v>
      </c>
      <c r="H18" s="114">
        <v>115554.41999999998</v>
      </c>
      <c r="I18" s="114">
        <v>109257.19</v>
      </c>
      <c r="J18" s="114">
        <v>117286.82999999999</v>
      </c>
      <c r="K18" s="114">
        <v>118154.37</v>
      </c>
      <c r="L18" s="114">
        <f>VLOOKUP($A18,JuryHD,'Lookup_OverUnderExpended_8-6-19'!$BS$1,FALSE)</f>
        <v>123534.13</v>
      </c>
      <c r="M18" s="117">
        <f t="shared" si="1"/>
        <v>117058.13</v>
      </c>
      <c r="N18" s="98">
        <f t="shared" si="0"/>
        <v>117058.13</v>
      </c>
      <c r="O18" s="114"/>
      <c r="P18" s="239"/>
    </row>
    <row r="19" spans="1:16" x14ac:dyDescent="0.3">
      <c r="A19" s="134" t="s">
        <v>30</v>
      </c>
      <c r="B19" s="97">
        <v>17</v>
      </c>
      <c r="C19" s="97">
        <v>18</v>
      </c>
      <c r="D19" s="97" t="s">
        <v>179</v>
      </c>
      <c r="E19" s="97" t="s">
        <v>163</v>
      </c>
      <c r="F19" s="97" t="s">
        <v>178</v>
      </c>
      <c r="G19" s="97" t="s">
        <v>165</v>
      </c>
      <c r="H19" s="114">
        <v>70915.670000000013</v>
      </c>
      <c r="I19" s="114">
        <v>82421.7</v>
      </c>
      <c r="J19" s="114">
        <v>69286.48000000001</v>
      </c>
      <c r="K19" s="114">
        <v>68695.009999999995</v>
      </c>
      <c r="L19" s="114">
        <f>VLOOKUP($A19,JuryHD,'Lookup_OverUnderExpended_8-6-19'!$BS$1,FALSE)</f>
        <v>82846.149999999994</v>
      </c>
      <c r="M19" s="117">
        <f t="shared" si="1"/>
        <v>75812.34</v>
      </c>
      <c r="N19" s="98">
        <f t="shared" si="0"/>
        <v>75812.34</v>
      </c>
      <c r="O19" s="114"/>
      <c r="P19" s="239"/>
    </row>
    <row r="20" spans="1:16" x14ac:dyDescent="0.3">
      <c r="A20" s="134" t="s">
        <v>31</v>
      </c>
      <c r="B20" s="97">
        <v>18</v>
      </c>
      <c r="C20" s="97">
        <v>18</v>
      </c>
      <c r="D20" s="97" t="s">
        <v>179</v>
      </c>
      <c r="E20" s="97" t="s">
        <v>163</v>
      </c>
      <c r="F20" s="97" t="s">
        <v>178</v>
      </c>
      <c r="G20" s="97" t="s">
        <v>165</v>
      </c>
      <c r="H20" s="114">
        <v>17017.78</v>
      </c>
      <c r="I20" s="114">
        <v>15023.86</v>
      </c>
      <c r="J20" s="114">
        <v>15537.199999999999</v>
      </c>
      <c r="K20" s="114">
        <v>15512.74</v>
      </c>
      <c r="L20" s="114">
        <f>VLOOKUP($A20,JuryHD,'Lookup_OverUnderExpended_8-6-19'!$BS$1,FALSE)</f>
        <v>15901.68</v>
      </c>
      <c r="M20" s="117">
        <f t="shared" si="1"/>
        <v>15493.87</v>
      </c>
      <c r="N20" s="98">
        <f t="shared" si="0"/>
        <v>15493.87</v>
      </c>
      <c r="O20" s="114"/>
      <c r="P20" s="239"/>
    </row>
    <row r="21" spans="1:16" x14ac:dyDescent="0.3">
      <c r="A21" s="134" t="s">
        <v>32</v>
      </c>
      <c r="B21" s="97">
        <v>19</v>
      </c>
      <c r="C21" s="97">
        <v>18</v>
      </c>
      <c r="D21" s="97" t="s">
        <v>179</v>
      </c>
      <c r="E21" s="97" t="s">
        <v>163</v>
      </c>
      <c r="F21" s="97" t="s">
        <v>178</v>
      </c>
      <c r="G21" s="97" t="s">
        <v>165</v>
      </c>
      <c r="H21" s="114">
        <v>3718.95</v>
      </c>
      <c r="I21" s="114">
        <v>4827.01</v>
      </c>
      <c r="J21" s="114">
        <v>2652.7200000000003</v>
      </c>
      <c r="K21" s="114">
        <v>4010.2599999999998</v>
      </c>
      <c r="L21" s="114">
        <f>VLOOKUP($A21,JuryHD,'Lookup_OverUnderExpended_8-6-19'!$BS$1,FALSE)</f>
        <v>3524.1099999999997</v>
      </c>
      <c r="M21" s="117">
        <f t="shared" si="1"/>
        <v>3753.53</v>
      </c>
      <c r="N21" s="98">
        <f t="shared" si="0"/>
        <v>3753.53</v>
      </c>
      <c r="O21" s="114"/>
      <c r="P21" s="239"/>
    </row>
    <row r="22" spans="1:16" x14ac:dyDescent="0.3">
      <c r="A22" s="134" t="s">
        <v>33</v>
      </c>
      <c r="B22" s="97">
        <v>20</v>
      </c>
      <c r="C22" s="97">
        <v>18</v>
      </c>
      <c r="D22" s="97" t="s">
        <v>179</v>
      </c>
      <c r="E22" s="97" t="s">
        <v>163</v>
      </c>
      <c r="F22" s="97" t="s">
        <v>178</v>
      </c>
      <c r="G22" s="97" t="s">
        <v>165</v>
      </c>
      <c r="H22" s="114">
        <v>14225.39</v>
      </c>
      <c r="I22" s="114">
        <v>13448.3</v>
      </c>
      <c r="J22" s="114">
        <v>9560.64</v>
      </c>
      <c r="K22" s="114">
        <v>15178.14</v>
      </c>
      <c r="L22" s="114">
        <f>VLOOKUP($A22,JuryHD,'Lookup_OverUnderExpended_8-6-19'!$BS$1,FALSE)</f>
        <v>16717.93</v>
      </c>
      <c r="M22" s="117">
        <f t="shared" si="1"/>
        <v>13726.25</v>
      </c>
      <c r="N22" s="98">
        <f t="shared" si="0"/>
        <v>13726.25</v>
      </c>
      <c r="O22" s="114"/>
      <c r="P22" s="239"/>
    </row>
    <row r="23" spans="1:16" x14ac:dyDescent="0.3">
      <c r="A23" s="134" t="s">
        <v>34</v>
      </c>
      <c r="B23" s="97">
        <v>21</v>
      </c>
      <c r="C23" s="97">
        <v>18</v>
      </c>
      <c r="D23" s="97" t="s">
        <v>179</v>
      </c>
      <c r="E23" s="97" t="s">
        <v>163</v>
      </c>
      <c r="F23" s="97" t="s">
        <v>178</v>
      </c>
      <c r="G23" s="97" t="s">
        <v>165</v>
      </c>
      <c r="H23" s="114">
        <v>2837.05</v>
      </c>
      <c r="I23" s="138">
        <v>1553.45</v>
      </c>
      <c r="J23" s="114">
        <v>4833.55</v>
      </c>
      <c r="K23" s="114">
        <v>1000.6</v>
      </c>
      <c r="L23" s="114">
        <f>VLOOKUP($A23,JuryHD,'Lookup_OverUnderExpended_8-6-19'!$BS$1,FALSE)</f>
        <v>1111.81</v>
      </c>
      <c r="M23" s="117">
        <f t="shared" si="1"/>
        <v>2124.85</v>
      </c>
      <c r="N23" s="98">
        <f t="shared" si="0"/>
        <v>2124.85</v>
      </c>
      <c r="O23" s="114"/>
      <c r="P23" s="239"/>
    </row>
    <row r="24" spans="1:16" x14ac:dyDescent="0.3">
      <c r="A24" s="134" t="s">
        <v>35</v>
      </c>
      <c r="B24" s="97">
        <v>22</v>
      </c>
      <c r="C24" s="97">
        <v>18</v>
      </c>
      <c r="D24" s="97" t="s">
        <v>179</v>
      </c>
      <c r="E24" s="97" t="s">
        <v>163</v>
      </c>
      <c r="F24" s="97" t="s">
        <v>178</v>
      </c>
      <c r="G24" s="97" t="s">
        <v>165</v>
      </c>
      <c r="H24" s="114">
        <v>5999.8099999999995</v>
      </c>
      <c r="I24" s="114">
        <v>5050.49</v>
      </c>
      <c r="J24" s="114">
        <v>4629.3999999999996</v>
      </c>
      <c r="K24" s="114">
        <v>4900.9800000000005</v>
      </c>
      <c r="L24" s="114">
        <f>VLOOKUP($A24,JuryHD,'Lookup_OverUnderExpended_8-6-19'!$BS$1,FALSE)</f>
        <v>6089.9299999999994</v>
      </c>
      <c r="M24" s="117">
        <f t="shared" si="1"/>
        <v>5167.7</v>
      </c>
      <c r="N24" s="98">
        <f t="shared" si="0"/>
        <v>5167.7</v>
      </c>
      <c r="O24" s="114"/>
      <c r="P24" s="239"/>
    </row>
    <row r="25" spans="1:16" x14ac:dyDescent="0.3">
      <c r="A25" s="134" t="s">
        <v>36</v>
      </c>
      <c r="B25" s="97">
        <v>23</v>
      </c>
      <c r="C25" s="97">
        <v>18</v>
      </c>
      <c r="D25" s="97" t="s">
        <v>179</v>
      </c>
      <c r="E25" s="97" t="s">
        <v>163</v>
      </c>
      <c r="F25" s="97" t="s">
        <v>178</v>
      </c>
      <c r="G25" s="97" t="s">
        <v>165</v>
      </c>
      <c r="H25" s="114">
        <v>4985.63</v>
      </c>
      <c r="I25" s="114">
        <v>9568.4000000000015</v>
      </c>
      <c r="J25" s="114">
        <v>4041.94</v>
      </c>
      <c r="K25" s="114">
        <v>4273.51</v>
      </c>
      <c r="L25" s="114">
        <f>VLOOKUP($A25,JuryHD,'Lookup_OverUnderExpended_8-6-19'!$BS$1,FALSE)</f>
        <v>4369.75</v>
      </c>
      <c r="M25" s="117">
        <f t="shared" si="1"/>
        <v>5563.4</v>
      </c>
      <c r="N25" s="98">
        <f t="shared" si="0"/>
        <v>5563.4</v>
      </c>
      <c r="O25" s="114"/>
      <c r="P25" s="239"/>
    </row>
    <row r="26" spans="1:16" x14ac:dyDescent="0.3">
      <c r="A26" s="134" t="s">
        <v>37</v>
      </c>
      <c r="B26" s="97">
        <v>24</v>
      </c>
      <c r="C26" s="97">
        <v>18</v>
      </c>
      <c r="D26" s="97" t="s">
        <v>179</v>
      </c>
      <c r="E26" s="97" t="s">
        <v>163</v>
      </c>
      <c r="F26" s="97" t="s">
        <v>178</v>
      </c>
      <c r="G26" s="97" t="s">
        <v>165</v>
      </c>
      <c r="H26" s="114">
        <v>3258.8599999999997</v>
      </c>
      <c r="I26" s="114">
        <v>3012.05</v>
      </c>
      <c r="J26" s="114">
        <v>3156.96</v>
      </c>
      <c r="K26" s="114">
        <v>1942.4</v>
      </c>
      <c r="L26" s="114">
        <f>VLOOKUP($A26,JuryHD,'Lookup_OverUnderExpended_8-6-19'!$BS$1,FALSE)</f>
        <v>3004.54</v>
      </c>
      <c r="M26" s="117">
        <f t="shared" si="1"/>
        <v>2778.99</v>
      </c>
      <c r="N26" s="98">
        <f t="shared" si="0"/>
        <v>2778.99</v>
      </c>
      <c r="O26" s="114"/>
      <c r="P26" s="239"/>
    </row>
    <row r="27" spans="1:16" x14ac:dyDescent="0.3">
      <c r="A27" s="134" t="s">
        <v>38</v>
      </c>
      <c r="B27" s="97">
        <v>25</v>
      </c>
      <c r="C27" s="97">
        <v>18</v>
      </c>
      <c r="D27" s="97" t="s">
        <v>179</v>
      </c>
      <c r="E27" s="97" t="s">
        <v>163</v>
      </c>
      <c r="F27" s="97" t="s">
        <v>178</v>
      </c>
      <c r="G27" s="97" t="s">
        <v>165</v>
      </c>
      <c r="H27" s="114">
        <v>10123.33</v>
      </c>
      <c r="I27" s="114">
        <v>12576.1</v>
      </c>
      <c r="J27" s="114">
        <v>8727.77</v>
      </c>
      <c r="K27" s="114">
        <v>9227.7099999999991</v>
      </c>
      <c r="L27" s="251">
        <f>VLOOKUP($A27,JuryHD,'Lookup_OverUnderExpended_8-6-19'!$BS$1,FALSE)</f>
        <v>9561.1</v>
      </c>
      <c r="M27" s="117">
        <f t="shared" si="1"/>
        <v>10023.17</v>
      </c>
      <c r="N27" s="98">
        <f t="shared" si="0"/>
        <v>10023.17</v>
      </c>
      <c r="O27" s="114"/>
      <c r="P27" s="239"/>
    </row>
    <row r="28" spans="1:16" x14ac:dyDescent="0.3">
      <c r="A28" s="134" t="s">
        <v>39</v>
      </c>
      <c r="B28" s="97">
        <v>26</v>
      </c>
      <c r="C28" s="97">
        <v>18</v>
      </c>
      <c r="D28" s="97" t="s">
        <v>179</v>
      </c>
      <c r="E28" s="97" t="s">
        <v>163</v>
      </c>
      <c r="F28" s="97" t="s">
        <v>178</v>
      </c>
      <c r="G28" s="97" t="s">
        <v>165</v>
      </c>
      <c r="H28" s="114">
        <v>17594.919999999998</v>
      </c>
      <c r="I28" s="114">
        <v>18128.13</v>
      </c>
      <c r="J28" s="114">
        <v>14723.619999999999</v>
      </c>
      <c r="K28" s="114">
        <v>15167.92</v>
      </c>
      <c r="L28" s="114">
        <f>VLOOKUP($A28,JuryHD,'Lookup_OverUnderExpended_8-6-19'!$BS$1,FALSE)</f>
        <v>12405.240000000002</v>
      </c>
      <c r="M28" s="117">
        <f t="shared" si="1"/>
        <v>15106.23</v>
      </c>
      <c r="N28" s="98">
        <f t="shared" si="0"/>
        <v>15106.23</v>
      </c>
      <c r="O28" s="114"/>
      <c r="P28" s="239"/>
    </row>
    <row r="29" spans="1:16" x14ac:dyDescent="0.3">
      <c r="A29" s="134" t="s">
        <v>40</v>
      </c>
      <c r="B29" s="97">
        <v>27</v>
      </c>
      <c r="C29" s="97">
        <v>18</v>
      </c>
      <c r="D29" s="97" t="s">
        <v>179</v>
      </c>
      <c r="E29" s="97" t="s">
        <v>163</v>
      </c>
      <c r="F29" s="97" t="s">
        <v>178</v>
      </c>
      <c r="G29" s="97" t="s">
        <v>165</v>
      </c>
      <c r="H29" s="114">
        <v>38175.599999999999</v>
      </c>
      <c r="I29" s="114">
        <v>49574.71</v>
      </c>
      <c r="J29" s="114">
        <v>34111.42</v>
      </c>
      <c r="K29" s="114">
        <v>36794.990000000005</v>
      </c>
      <c r="L29" s="114">
        <f>VLOOKUP($A29,JuryHD,'Lookup_OverUnderExpended_8-6-19'!$BS$1,FALSE)</f>
        <v>41381.71</v>
      </c>
      <c r="M29" s="117">
        <f t="shared" si="1"/>
        <v>40465.71</v>
      </c>
      <c r="N29" s="98">
        <f t="shared" si="0"/>
        <v>40465.71</v>
      </c>
      <c r="O29" s="114"/>
      <c r="P29" s="239"/>
    </row>
    <row r="30" spans="1:16" x14ac:dyDescent="0.3">
      <c r="A30" s="134" t="s">
        <v>41</v>
      </c>
      <c r="B30" s="97">
        <v>28</v>
      </c>
      <c r="C30" s="97">
        <v>18</v>
      </c>
      <c r="D30" s="97" t="s">
        <v>179</v>
      </c>
      <c r="E30" s="97" t="s">
        <v>163</v>
      </c>
      <c r="F30" s="97" t="s">
        <v>178</v>
      </c>
      <c r="G30" s="97" t="s">
        <v>165</v>
      </c>
      <c r="H30" s="114">
        <v>18202.189999999999</v>
      </c>
      <c r="I30" s="114">
        <v>27820.739999999998</v>
      </c>
      <c r="J30" s="114">
        <v>16044.86</v>
      </c>
      <c r="K30" s="114">
        <v>19869.32</v>
      </c>
      <c r="L30" s="114">
        <f>VLOOKUP($A30,JuryHD,'Lookup_OverUnderExpended_8-6-19'!$BS$1,FALSE)</f>
        <v>20618.48</v>
      </c>
      <c r="M30" s="117">
        <f t="shared" si="1"/>
        <v>21088.35</v>
      </c>
      <c r="N30" s="98">
        <f t="shared" si="0"/>
        <v>21088.35</v>
      </c>
      <c r="O30" s="114"/>
      <c r="P30" s="239"/>
    </row>
    <row r="31" spans="1:16" x14ac:dyDescent="0.3">
      <c r="A31" s="134" t="s">
        <v>42</v>
      </c>
      <c r="B31" s="97">
        <v>29</v>
      </c>
      <c r="C31" s="97">
        <v>18</v>
      </c>
      <c r="D31" s="97" t="s">
        <v>179</v>
      </c>
      <c r="E31" s="97" t="s">
        <v>163</v>
      </c>
      <c r="F31" s="97" t="s">
        <v>178</v>
      </c>
      <c r="G31" s="97" t="s">
        <v>165</v>
      </c>
      <c r="H31" s="114">
        <v>123841</v>
      </c>
      <c r="I31" s="114">
        <v>123463</v>
      </c>
      <c r="J31" s="114">
        <v>119003</v>
      </c>
      <c r="K31" s="114">
        <v>117611</v>
      </c>
      <c r="L31" s="114">
        <f>VLOOKUP($A31,JuryHD,'Lookup_OverUnderExpended_8-6-19'!$BS$1,FALSE)</f>
        <v>112179</v>
      </c>
      <c r="M31" s="117">
        <f t="shared" si="1"/>
        <v>118064</v>
      </c>
      <c r="N31" s="98">
        <f t="shared" si="0"/>
        <v>118064</v>
      </c>
      <c r="O31" s="114"/>
      <c r="P31" s="239"/>
    </row>
    <row r="32" spans="1:16" x14ac:dyDescent="0.3">
      <c r="A32" s="134" t="s">
        <v>43</v>
      </c>
      <c r="B32" s="97">
        <v>30</v>
      </c>
      <c r="C32" s="97">
        <v>18</v>
      </c>
      <c r="D32" s="97" t="s">
        <v>179</v>
      </c>
      <c r="E32" s="97" t="s">
        <v>163</v>
      </c>
      <c r="F32" s="97" t="s">
        <v>178</v>
      </c>
      <c r="G32" s="97" t="s">
        <v>165</v>
      </c>
      <c r="H32" s="114">
        <v>3864.7</v>
      </c>
      <c r="I32" s="114">
        <v>4751.6900000000005</v>
      </c>
      <c r="J32" s="114">
        <v>3610.19</v>
      </c>
      <c r="K32" s="114">
        <v>4474.01</v>
      </c>
      <c r="L32" s="114">
        <f>VLOOKUP($A32,JuryHD,'Lookup_OverUnderExpended_8-6-19'!$BS$1,FALSE)</f>
        <v>5426.24</v>
      </c>
      <c r="M32" s="117">
        <f t="shared" si="1"/>
        <v>4565.53</v>
      </c>
      <c r="N32" s="98">
        <f t="shared" si="0"/>
        <v>4565.53</v>
      </c>
      <c r="O32" s="114"/>
      <c r="P32" s="239"/>
    </row>
    <row r="33" spans="1:17" x14ac:dyDescent="0.3">
      <c r="A33" s="134" t="s">
        <v>44</v>
      </c>
      <c r="B33" s="97">
        <v>31</v>
      </c>
      <c r="C33" s="97">
        <v>18</v>
      </c>
      <c r="D33" s="97" t="s">
        <v>179</v>
      </c>
      <c r="E33" s="97" t="s">
        <v>163</v>
      </c>
      <c r="F33" s="97" t="s">
        <v>178</v>
      </c>
      <c r="G33" s="97" t="s">
        <v>165</v>
      </c>
      <c r="H33" s="114">
        <v>50796.86</v>
      </c>
      <c r="I33" s="114">
        <v>49551.82</v>
      </c>
      <c r="J33" s="114">
        <v>37259.97</v>
      </c>
      <c r="K33" s="114">
        <v>43362.16</v>
      </c>
      <c r="L33" s="114">
        <f>VLOOKUP($A33,JuryHD,'Lookup_OverUnderExpended_8-6-19'!$BS$1,FALSE)</f>
        <v>48177.619999999995</v>
      </c>
      <c r="M33" s="117">
        <f t="shared" si="1"/>
        <v>44587.89</v>
      </c>
      <c r="N33" s="98">
        <f t="shared" si="0"/>
        <v>44587.89</v>
      </c>
      <c r="O33" s="114"/>
      <c r="P33" s="239"/>
    </row>
    <row r="34" spans="1:17" x14ac:dyDescent="0.3">
      <c r="A34" s="134" t="s">
        <v>45</v>
      </c>
      <c r="B34" s="97">
        <v>32</v>
      </c>
      <c r="C34" s="97">
        <v>18</v>
      </c>
      <c r="D34" s="97" t="s">
        <v>179</v>
      </c>
      <c r="E34" s="97" t="s">
        <v>163</v>
      </c>
      <c r="F34" s="97" t="s">
        <v>178</v>
      </c>
      <c r="G34" s="97" t="s">
        <v>165</v>
      </c>
      <c r="H34" s="114">
        <v>8970.89</v>
      </c>
      <c r="I34" s="114">
        <v>6702.01</v>
      </c>
      <c r="J34" s="114">
        <v>5123.6400000000003</v>
      </c>
      <c r="K34" s="114">
        <v>6188.05</v>
      </c>
      <c r="L34" s="114">
        <f>VLOOKUP($A34,JuryHD,'Lookup_OverUnderExpended_8-6-19'!$BS$1,FALSE)</f>
        <v>8289.77</v>
      </c>
      <c r="M34" s="117">
        <f t="shared" si="1"/>
        <v>6575.87</v>
      </c>
      <c r="N34" s="98">
        <f t="shared" si="0"/>
        <v>6575.87</v>
      </c>
      <c r="O34" s="114"/>
      <c r="P34" s="239"/>
    </row>
    <row r="35" spans="1:17" x14ac:dyDescent="0.3">
      <c r="A35" s="134" t="s">
        <v>46</v>
      </c>
      <c r="B35" s="97">
        <v>33</v>
      </c>
      <c r="C35" s="97">
        <v>18</v>
      </c>
      <c r="D35" s="97" t="s">
        <v>179</v>
      </c>
      <c r="E35" s="97" t="s">
        <v>163</v>
      </c>
      <c r="F35" s="97" t="s">
        <v>178</v>
      </c>
      <c r="G35" s="97" t="s">
        <v>165</v>
      </c>
      <c r="H35" s="114">
        <v>17373.21</v>
      </c>
      <c r="I35" s="114">
        <v>8505.48</v>
      </c>
      <c r="J35" s="114">
        <v>8682.2200000000012</v>
      </c>
      <c r="K35" s="114">
        <v>7434.12</v>
      </c>
      <c r="L35" s="114">
        <f>VLOOKUP($A35,JuryHD,'Lookup_OverUnderExpended_8-6-19'!$BS$1,FALSE)</f>
        <v>7167</v>
      </c>
      <c r="M35" s="117">
        <f t="shared" si="1"/>
        <v>7947.21</v>
      </c>
      <c r="N35" s="98">
        <f t="shared" ref="N35:N66" si="2">IF(D$1="Average",M35,K35)</f>
        <v>7947.21</v>
      </c>
      <c r="O35" s="114"/>
      <c r="P35" s="239"/>
    </row>
    <row r="36" spans="1:17" x14ac:dyDescent="0.3">
      <c r="A36" s="134" t="s">
        <v>47</v>
      </c>
      <c r="B36" s="97">
        <v>34</v>
      </c>
      <c r="C36" s="97">
        <v>18</v>
      </c>
      <c r="D36" s="97" t="s">
        <v>179</v>
      </c>
      <c r="E36" s="97" t="s">
        <v>163</v>
      </c>
      <c r="F36" s="97" t="s">
        <v>178</v>
      </c>
      <c r="G36" s="97" t="s">
        <v>165</v>
      </c>
      <c r="H36" s="114">
        <v>0</v>
      </c>
      <c r="I36" s="114">
        <v>1845.51</v>
      </c>
      <c r="J36" s="114">
        <v>489.33000000000004</v>
      </c>
      <c r="K36" s="135">
        <v>2065.65</v>
      </c>
      <c r="L36" s="114">
        <f>VLOOKUP($A36,JuryHD,'Lookup_OverUnderExpended_8-6-19'!$BS$1,FALSE)</f>
        <v>95.22</v>
      </c>
      <c r="M36" s="117">
        <f t="shared" si="1"/>
        <v>1123.93</v>
      </c>
      <c r="N36" s="98">
        <f t="shared" si="2"/>
        <v>1123.93</v>
      </c>
      <c r="O36" s="114"/>
      <c r="P36" s="239"/>
      <c r="Q36" s="58"/>
    </row>
    <row r="37" spans="1:17" x14ac:dyDescent="0.3">
      <c r="A37" s="134" t="s">
        <v>48</v>
      </c>
      <c r="B37" s="97">
        <v>35</v>
      </c>
      <c r="C37" s="97">
        <v>18</v>
      </c>
      <c r="D37" s="97" t="s">
        <v>179</v>
      </c>
      <c r="E37" s="97" t="s">
        <v>163</v>
      </c>
      <c r="F37" s="97" t="s">
        <v>178</v>
      </c>
      <c r="G37" s="97" t="s">
        <v>165</v>
      </c>
      <c r="H37" s="114">
        <v>56409.86</v>
      </c>
      <c r="I37" s="114">
        <v>54286.570000000007</v>
      </c>
      <c r="J37" s="114">
        <v>61081.599999999991</v>
      </c>
      <c r="K37" s="114">
        <v>51227.87</v>
      </c>
      <c r="L37" s="114">
        <f>VLOOKUP($A37,JuryHD,'Lookup_OverUnderExpended_8-6-19'!$BS$1,FALSE)</f>
        <v>48479.65</v>
      </c>
      <c r="M37" s="117">
        <f t="shared" si="1"/>
        <v>53768.92</v>
      </c>
      <c r="N37" s="98">
        <f t="shared" si="2"/>
        <v>53768.92</v>
      </c>
      <c r="O37" s="114"/>
      <c r="P37" s="239"/>
    </row>
    <row r="38" spans="1:17" x14ac:dyDescent="0.3">
      <c r="A38" s="134" t="s">
        <v>49</v>
      </c>
      <c r="B38" s="97">
        <v>36</v>
      </c>
      <c r="C38" s="97">
        <v>18</v>
      </c>
      <c r="D38" s="97" t="s">
        <v>179</v>
      </c>
      <c r="E38" s="97" t="s">
        <v>163</v>
      </c>
      <c r="F38" s="97" t="s">
        <v>178</v>
      </c>
      <c r="G38" s="97" t="s">
        <v>165</v>
      </c>
      <c r="H38" s="114">
        <v>79216.7</v>
      </c>
      <c r="I38" s="114">
        <v>69724.66</v>
      </c>
      <c r="J38" s="114">
        <v>61250.29</v>
      </c>
      <c r="K38" s="114">
        <v>60814.100000000006</v>
      </c>
      <c r="L38" s="114">
        <f>VLOOKUP($A38,JuryHD,'Lookup_OverUnderExpended_8-6-19'!$BS$1,FALSE)</f>
        <v>80569.75</v>
      </c>
      <c r="M38" s="117">
        <f t="shared" si="1"/>
        <v>68089.7</v>
      </c>
      <c r="N38" s="98">
        <f t="shared" si="2"/>
        <v>68089.7</v>
      </c>
      <c r="O38" s="114"/>
      <c r="P38" s="239"/>
    </row>
    <row r="39" spans="1:17" x14ac:dyDescent="0.3">
      <c r="A39" s="134" t="s">
        <v>50</v>
      </c>
      <c r="B39" s="97">
        <v>37</v>
      </c>
      <c r="C39" s="97">
        <v>18</v>
      </c>
      <c r="D39" s="97" t="s">
        <v>179</v>
      </c>
      <c r="E39" s="97" t="s">
        <v>163</v>
      </c>
      <c r="F39" s="97" t="s">
        <v>178</v>
      </c>
      <c r="G39" s="97" t="s">
        <v>165</v>
      </c>
      <c r="H39" s="114">
        <v>67049.36</v>
      </c>
      <c r="I39" s="114">
        <v>62274.2</v>
      </c>
      <c r="J39" s="114">
        <v>61044.52</v>
      </c>
      <c r="K39" s="114">
        <v>59022.45</v>
      </c>
      <c r="L39" s="114">
        <f>VLOOKUP($A39,JuryHD,'Lookup_OverUnderExpended_8-6-19'!$BS$1,FALSE)</f>
        <v>66083.570000000007</v>
      </c>
      <c r="M39" s="117">
        <f t="shared" si="1"/>
        <v>62106.19</v>
      </c>
      <c r="N39" s="98">
        <f t="shared" si="2"/>
        <v>62106.19</v>
      </c>
      <c r="O39" s="114"/>
      <c r="P39" s="239"/>
    </row>
    <row r="40" spans="1:17" x14ac:dyDescent="0.3">
      <c r="A40" s="134" t="s">
        <v>51</v>
      </c>
      <c r="B40" s="97">
        <v>38</v>
      </c>
      <c r="C40" s="97">
        <v>18</v>
      </c>
      <c r="D40" s="97" t="s">
        <v>179</v>
      </c>
      <c r="E40" s="97" t="s">
        <v>163</v>
      </c>
      <c r="F40" s="97" t="s">
        <v>178</v>
      </c>
      <c r="G40" s="97" t="s">
        <v>165</v>
      </c>
      <c r="H40" s="114">
        <v>16779.669999999998</v>
      </c>
      <c r="I40" s="114">
        <v>17083.120000000003</v>
      </c>
      <c r="J40" s="114">
        <v>15720.570000000002</v>
      </c>
      <c r="K40" s="114">
        <v>14452.72</v>
      </c>
      <c r="L40" s="114">
        <f>VLOOKUP($A40,JuryHD,'Lookup_OverUnderExpended_8-6-19'!$BS$1,FALSE)</f>
        <v>19199.75</v>
      </c>
      <c r="M40" s="117">
        <f t="shared" si="1"/>
        <v>16614.04</v>
      </c>
      <c r="N40" s="98">
        <f t="shared" si="2"/>
        <v>16614.04</v>
      </c>
      <c r="O40" s="114"/>
      <c r="P40" s="239"/>
    </row>
    <row r="41" spans="1:17" x14ac:dyDescent="0.3">
      <c r="A41" s="134" t="s">
        <v>52</v>
      </c>
      <c r="B41" s="97">
        <v>39</v>
      </c>
      <c r="C41" s="97">
        <v>18</v>
      </c>
      <c r="D41" s="97" t="s">
        <v>179</v>
      </c>
      <c r="E41" s="97" t="s">
        <v>163</v>
      </c>
      <c r="F41" s="97" t="s">
        <v>178</v>
      </c>
      <c r="G41" s="97" t="s">
        <v>165</v>
      </c>
      <c r="H41" s="114">
        <v>2681.74</v>
      </c>
      <c r="I41" s="114">
        <v>2850.55</v>
      </c>
      <c r="J41" s="114">
        <v>1732.95</v>
      </c>
      <c r="K41" s="114">
        <v>1704.32</v>
      </c>
      <c r="L41" s="114">
        <f>VLOOKUP($A41,JuryHD,'Lookup_OverUnderExpended_8-6-19'!$BS$1,FALSE)</f>
        <v>2841.24</v>
      </c>
      <c r="M41" s="117">
        <f t="shared" si="1"/>
        <v>2282.27</v>
      </c>
      <c r="N41" s="98">
        <f t="shared" si="2"/>
        <v>2282.27</v>
      </c>
      <c r="O41" s="114"/>
      <c r="P41" s="239"/>
    </row>
    <row r="42" spans="1:17" x14ac:dyDescent="0.3">
      <c r="A42" s="134" t="s">
        <v>53</v>
      </c>
      <c r="B42" s="97">
        <v>40</v>
      </c>
      <c r="C42" s="97">
        <v>18</v>
      </c>
      <c r="D42" s="97" t="s">
        <v>179</v>
      </c>
      <c r="E42" s="97" t="s">
        <v>163</v>
      </c>
      <c r="F42" s="97" t="s">
        <v>178</v>
      </c>
      <c r="G42" s="97" t="s">
        <v>165</v>
      </c>
      <c r="H42" s="114">
        <v>2924.38</v>
      </c>
      <c r="I42" s="114">
        <v>1795.23</v>
      </c>
      <c r="J42" s="114">
        <v>2583.27</v>
      </c>
      <c r="K42" s="114">
        <v>1477.86</v>
      </c>
      <c r="L42" s="114">
        <f>VLOOKUP($A42,JuryHD,'Lookup_OverUnderExpended_8-6-19'!$BS$1,FALSE)</f>
        <v>2188.4</v>
      </c>
      <c r="M42" s="117">
        <f t="shared" si="1"/>
        <v>2011.19</v>
      </c>
      <c r="N42" s="98">
        <f t="shared" si="2"/>
        <v>2011.19</v>
      </c>
      <c r="O42" s="114"/>
      <c r="P42" s="239"/>
    </row>
    <row r="43" spans="1:17" x14ac:dyDescent="0.3">
      <c r="A43" s="134" t="s">
        <v>54</v>
      </c>
      <c r="B43" s="97">
        <v>41</v>
      </c>
      <c r="C43" s="97">
        <v>18</v>
      </c>
      <c r="D43" s="97" t="s">
        <v>179</v>
      </c>
      <c r="E43" s="97" t="s">
        <v>163</v>
      </c>
      <c r="F43" s="97" t="s">
        <v>178</v>
      </c>
      <c r="G43" s="97" t="s">
        <v>165</v>
      </c>
      <c r="H43" s="114">
        <v>36444.089999999997</v>
      </c>
      <c r="I43" s="114">
        <v>31602.720000000001</v>
      </c>
      <c r="J43" s="114">
        <v>28125.25</v>
      </c>
      <c r="K43" s="114">
        <v>33825.020000000004</v>
      </c>
      <c r="L43" s="114">
        <f>VLOOKUP($A43,JuryHD,'Lookup_OverUnderExpended_8-6-19'!$BS$1,FALSE)</f>
        <v>35777.519999999997</v>
      </c>
      <c r="M43" s="117">
        <f t="shared" si="1"/>
        <v>32332.63</v>
      </c>
      <c r="N43" s="98">
        <f t="shared" si="2"/>
        <v>32332.63</v>
      </c>
      <c r="O43" s="114"/>
      <c r="P43" s="239"/>
    </row>
    <row r="44" spans="1:17" x14ac:dyDescent="0.3">
      <c r="A44" s="134" t="s">
        <v>55</v>
      </c>
      <c r="B44" s="97">
        <v>42</v>
      </c>
      <c r="C44" s="97">
        <v>18</v>
      </c>
      <c r="D44" s="97" t="s">
        <v>179</v>
      </c>
      <c r="E44" s="97" t="s">
        <v>163</v>
      </c>
      <c r="F44" s="97" t="s">
        <v>178</v>
      </c>
      <c r="G44" s="97" t="s">
        <v>165</v>
      </c>
      <c r="H44" s="114">
        <v>55121.45</v>
      </c>
      <c r="I44" s="114">
        <v>54590.29</v>
      </c>
      <c r="J44" s="114">
        <v>47978.25</v>
      </c>
      <c r="K44" s="114">
        <v>51638.34</v>
      </c>
      <c r="L44" s="114">
        <f>VLOOKUP($A44,JuryHD,'Lookup_OverUnderExpended_8-6-19'!$BS$1,FALSE)</f>
        <v>64139.689999999995</v>
      </c>
      <c r="M44" s="117">
        <f t="shared" si="1"/>
        <v>54586.64</v>
      </c>
      <c r="N44" s="98">
        <f t="shared" si="2"/>
        <v>54586.64</v>
      </c>
      <c r="O44" s="114"/>
      <c r="P44" s="239"/>
    </row>
    <row r="45" spans="1:17" x14ac:dyDescent="0.3">
      <c r="A45" s="134" t="s">
        <v>56</v>
      </c>
      <c r="B45" s="97">
        <v>43</v>
      </c>
      <c r="C45" s="97">
        <v>18</v>
      </c>
      <c r="D45" s="97" t="s">
        <v>179</v>
      </c>
      <c r="E45" s="97" t="s">
        <v>163</v>
      </c>
      <c r="F45" s="97" t="s">
        <v>178</v>
      </c>
      <c r="G45" s="97" t="s">
        <v>165</v>
      </c>
      <c r="H45" s="114">
        <v>51664.66</v>
      </c>
      <c r="I45" s="114">
        <v>39714.71</v>
      </c>
      <c r="J45" s="114">
        <v>37950.300000000003</v>
      </c>
      <c r="K45" s="114">
        <v>27045.039999999997</v>
      </c>
      <c r="L45" s="114">
        <f>VLOOKUP($A45,JuryHD,'Lookup_OverUnderExpended_8-6-19'!$BS$1,FALSE)</f>
        <v>36013.839999999997</v>
      </c>
      <c r="M45" s="117">
        <f t="shared" si="1"/>
        <v>35180.97</v>
      </c>
      <c r="N45" s="98">
        <f t="shared" si="2"/>
        <v>35180.97</v>
      </c>
      <c r="O45" s="114"/>
      <c r="P45" s="239"/>
    </row>
    <row r="46" spans="1:17" x14ac:dyDescent="0.3">
      <c r="A46" s="134" t="s">
        <v>57</v>
      </c>
      <c r="B46" s="97">
        <v>44</v>
      </c>
      <c r="C46" s="97">
        <v>18</v>
      </c>
      <c r="D46" s="97" t="s">
        <v>179</v>
      </c>
      <c r="E46" s="97" t="s">
        <v>163</v>
      </c>
      <c r="F46" s="97" t="s">
        <v>178</v>
      </c>
      <c r="G46" s="97" t="s">
        <v>165</v>
      </c>
      <c r="H46" s="114">
        <v>34533.99</v>
      </c>
      <c r="I46" s="114">
        <v>33309.17</v>
      </c>
      <c r="J46" s="114">
        <v>35313.379999999997</v>
      </c>
      <c r="K46" s="114">
        <v>39745.14</v>
      </c>
      <c r="L46" s="114">
        <f>VLOOKUP($A46,JuryHD,'Lookup_OverUnderExpended_8-6-19'!$BS$1,FALSE)</f>
        <v>34357.509999999995</v>
      </c>
      <c r="M46" s="117">
        <f t="shared" si="1"/>
        <v>35681.300000000003</v>
      </c>
      <c r="N46" s="98">
        <f t="shared" si="2"/>
        <v>35681.300000000003</v>
      </c>
      <c r="O46" s="114"/>
      <c r="P46" s="239"/>
    </row>
    <row r="47" spans="1:17" x14ac:dyDescent="0.3">
      <c r="A47" s="134" t="s">
        <v>58</v>
      </c>
      <c r="B47" s="97">
        <v>45</v>
      </c>
      <c r="C47" s="97">
        <v>18</v>
      </c>
      <c r="D47" s="97" t="s">
        <v>179</v>
      </c>
      <c r="E47" s="97" t="s">
        <v>163</v>
      </c>
      <c r="F47" s="97" t="s">
        <v>178</v>
      </c>
      <c r="G47" s="97" t="s">
        <v>165</v>
      </c>
      <c r="H47" s="114">
        <v>16848.080000000002</v>
      </c>
      <c r="I47" s="114">
        <v>23509.599999999999</v>
      </c>
      <c r="J47" s="114">
        <v>15052.18</v>
      </c>
      <c r="K47" s="114">
        <v>18804.52</v>
      </c>
      <c r="L47" s="114">
        <f>VLOOKUP($A47,JuryHD,'Lookup_OverUnderExpended_8-6-19'!$BS$1,FALSE)</f>
        <v>17180.080000000002</v>
      </c>
      <c r="M47" s="117">
        <f t="shared" si="1"/>
        <v>18636.599999999999</v>
      </c>
      <c r="N47" s="98">
        <f t="shared" si="2"/>
        <v>18636.599999999999</v>
      </c>
      <c r="O47" s="114"/>
      <c r="P47" s="239"/>
    </row>
    <row r="48" spans="1:17" x14ac:dyDescent="0.3">
      <c r="A48" s="134" t="s">
        <v>59</v>
      </c>
      <c r="B48" s="97">
        <v>46</v>
      </c>
      <c r="C48" s="97">
        <v>18</v>
      </c>
      <c r="D48" s="97" t="s">
        <v>179</v>
      </c>
      <c r="E48" s="97" t="s">
        <v>163</v>
      </c>
      <c r="F48" s="97" t="s">
        <v>178</v>
      </c>
      <c r="G48" s="97" t="s">
        <v>165</v>
      </c>
      <c r="H48" s="114">
        <v>19726.21</v>
      </c>
      <c r="I48" s="114">
        <v>25958.68</v>
      </c>
      <c r="J48" s="114">
        <v>22849.35</v>
      </c>
      <c r="K48" s="114">
        <v>22164.019999999997</v>
      </c>
      <c r="L48" s="114">
        <f>VLOOKUP($A48,JuryHD,'Lookup_OverUnderExpended_8-6-19'!$BS$1,FALSE)</f>
        <v>29007.119999999999</v>
      </c>
      <c r="M48" s="117">
        <f t="shared" si="1"/>
        <v>24994.79</v>
      </c>
      <c r="N48" s="98">
        <f t="shared" si="2"/>
        <v>24994.79</v>
      </c>
      <c r="O48" s="114"/>
      <c r="P48" s="239"/>
    </row>
    <row r="49" spans="1:16" x14ac:dyDescent="0.3">
      <c r="A49" s="134" t="s">
        <v>60</v>
      </c>
      <c r="B49" s="97">
        <v>47</v>
      </c>
      <c r="C49" s="97">
        <v>18</v>
      </c>
      <c r="D49" s="97" t="s">
        <v>179</v>
      </c>
      <c r="E49" s="97" t="s">
        <v>163</v>
      </c>
      <c r="F49" s="97" t="s">
        <v>178</v>
      </c>
      <c r="G49" s="97" t="s">
        <v>165</v>
      </c>
      <c r="H49" s="114">
        <v>29010.69</v>
      </c>
      <c r="I49" s="114">
        <v>30216.76</v>
      </c>
      <c r="J49" s="114">
        <v>19648.900000000001</v>
      </c>
      <c r="K49" s="114">
        <v>24082.080000000002</v>
      </c>
      <c r="L49" s="114">
        <f>VLOOKUP($A49,JuryHD,'Lookup_OverUnderExpended_8-6-19'!$BS$1,FALSE)</f>
        <v>23696.35</v>
      </c>
      <c r="M49" s="117">
        <f t="shared" si="1"/>
        <v>24411.02</v>
      </c>
      <c r="N49" s="98">
        <f t="shared" si="2"/>
        <v>24411.02</v>
      </c>
      <c r="O49" s="114"/>
      <c r="P49" s="239"/>
    </row>
    <row r="50" spans="1:16" x14ac:dyDescent="0.3">
      <c r="A50" s="134" t="s">
        <v>61</v>
      </c>
      <c r="B50" s="97">
        <v>48</v>
      </c>
      <c r="C50" s="97">
        <v>18</v>
      </c>
      <c r="D50" s="97" t="s">
        <v>179</v>
      </c>
      <c r="E50" s="97" t="s">
        <v>163</v>
      </c>
      <c r="F50" s="97" t="s">
        <v>178</v>
      </c>
      <c r="G50" s="97" t="s">
        <v>165</v>
      </c>
      <c r="H50" s="114">
        <v>188859.14</v>
      </c>
      <c r="I50" s="114">
        <v>163477.28999999998</v>
      </c>
      <c r="J50" s="114">
        <v>167045.52000000002</v>
      </c>
      <c r="K50" s="114">
        <v>184004.62</v>
      </c>
      <c r="L50" s="114">
        <f>VLOOKUP($A50,JuryHD,'Lookup_OverUnderExpended_8-6-19'!$BS$1,FALSE)</f>
        <v>178760.90999999997</v>
      </c>
      <c r="M50" s="117">
        <f t="shared" si="1"/>
        <v>173322.09</v>
      </c>
      <c r="N50" s="98">
        <f t="shared" si="2"/>
        <v>173322.09</v>
      </c>
      <c r="O50" s="114"/>
      <c r="P50" s="239"/>
    </row>
    <row r="51" spans="1:16" x14ac:dyDescent="0.3">
      <c r="A51" s="134" t="s">
        <v>62</v>
      </c>
      <c r="B51" s="97">
        <v>49</v>
      </c>
      <c r="C51" s="97">
        <v>18</v>
      </c>
      <c r="D51" s="97" t="s">
        <v>179</v>
      </c>
      <c r="E51" s="97" t="s">
        <v>163</v>
      </c>
      <c r="F51" s="97" t="s">
        <v>178</v>
      </c>
      <c r="G51" s="97" t="s">
        <v>165</v>
      </c>
      <c r="H51" s="114">
        <v>73102.45</v>
      </c>
      <c r="I51" s="114">
        <v>74439.86</v>
      </c>
      <c r="J51" s="114">
        <v>72224.45</v>
      </c>
      <c r="K51" s="114">
        <v>75063.34</v>
      </c>
      <c r="L51" s="114">
        <f>VLOOKUP($A51,JuryHD,'Lookup_OverUnderExpended_8-6-19'!$BS$1,FALSE)</f>
        <v>65653.8</v>
      </c>
      <c r="M51" s="117">
        <f t="shared" si="1"/>
        <v>71845.36</v>
      </c>
      <c r="N51" s="98">
        <f t="shared" si="2"/>
        <v>71845.36</v>
      </c>
      <c r="O51" s="114"/>
      <c r="P51" s="239"/>
    </row>
    <row r="52" spans="1:16" x14ac:dyDescent="0.3">
      <c r="A52" s="134" t="s">
        <v>63</v>
      </c>
      <c r="B52" s="97">
        <v>50</v>
      </c>
      <c r="C52" s="97">
        <v>18</v>
      </c>
      <c r="D52" s="97" t="s">
        <v>179</v>
      </c>
      <c r="E52" s="97" t="s">
        <v>163</v>
      </c>
      <c r="F52" s="97" t="s">
        <v>178</v>
      </c>
      <c r="G52" s="97" t="s">
        <v>165</v>
      </c>
      <c r="H52" s="114">
        <v>206001.83</v>
      </c>
      <c r="I52" s="114">
        <v>224379.86</v>
      </c>
      <c r="J52" s="114">
        <v>174208.48</v>
      </c>
      <c r="K52" s="114">
        <v>183606.61</v>
      </c>
      <c r="L52" s="114">
        <f>VLOOKUP($A52,JuryHD,'Lookup_OverUnderExpended_8-6-19'!$BS$1,FALSE)</f>
        <v>183207.12</v>
      </c>
      <c r="M52" s="117">
        <f t="shared" si="1"/>
        <v>191350.52</v>
      </c>
      <c r="N52" s="98">
        <f t="shared" si="2"/>
        <v>191350.52</v>
      </c>
      <c r="O52" s="114"/>
      <c r="P52" s="239"/>
    </row>
    <row r="53" spans="1:16" x14ac:dyDescent="0.3">
      <c r="A53" s="134" t="s">
        <v>64</v>
      </c>
      <c r="B53" s="97">
        <v>51</v>
      </c>
      <c r="C53" s="97">
        <v>18</v>
      </c>
      <c r="D53" s="97" t="s">
        <v>179</v>
      </c>
      <c r="E53" s="97" t="s">
        <v>163</v>
      </c>
      <c r="F53" s="97" t="s">
        <v>178</v>
      </c>
      <c r="G53" s="97" t="s">
        <v>165</v>
      </c>
      <c r="H53" s="114">
        <v>73942.929999999993</v>
      </c>
      <c r="I53" s="114">
        <v>81846.94</v>
      </c>
      <c r="J53" s="114">
        <v>46092.21</v>
      </c>
      <c r="K53" s="114">
        <v>75329.34</v>
      </c>
      <c r="L53" s="114">
        <f>VLOOKUP($A53,JuryHD,'Lookup_OverUnderExpended_8-6-19'!$BS$1,FALSE)</f>
        <v>58393.09</v>
      </c>
      <c r="M53" s="117">
        <f t="shared" si="1"/>
        <v>65415.4</v>
      </c>
      <c r="N53" s="98">
        <f t="shared" si="2"/>
        <v>65415.4</v>
      </c>
      <c r="O53" s="114"/>
      <c r="P53" s="239"/>
    </row>
    <row r="54" spans="1:16" x14ac:dyDescent="0.3">
      <c r="A54" s="134" t="s">
        <v>11</v>
      </c>
      <c r="B54" s="97">
        <v>52</v>
      </c>
      <c r="C54" s="97">
        <v>18</v>
      </c>
      <c r="D54" s="97" t="s">
        <v>179</v>
      </c>
      <c r="E54" s="97" t="s">
        <v>163</v>
      </c>
      <c r="F54" s="97" t="s">
        <v>178</v>
      </c>
      <c r="G54" s="97" t="s">
        <v>165</v>
      </c>
      <c r="H54" s="114">
        <v>152573.47</v>
      </c>
      <c r="I54" s="114">
        <v>150189.43</v>
      </c>
      <c r="J54" s="114">
        <v>144506.64000000001</v>
      </c>
      <c r="K54" s="114">
        <v>160913.64000000001</v>
      </c>
      <c r="L54" s="114">
        <f>VLOOKUP($A54,JuryHD,'Lookup_OverUnderExpended_8-6-19'!$BS$1,FALSE)</f>
        <v>160114.28</v>
      </c>
      <c r="M54" s="117">
        <f t="shared" si="1"/>
        <v>153931</v>
      </c>
      <c r="N54" s="98">
        <f t="shared" si="2"/>
        <v>153931</v>
      </c>
      <c r="O54" s="114"/>
      <c r="P54" s="239"/>
    </row>
    <row r="55" spans="1:16" x14ac:dyDescent="0.3">
      <c r="A55" s="134" t="s">
        <v>65</v>
      </c>
      <c r="B55" s="97">
        <v>53</v>
      </c>
      <c r="C55" s="97">
        <v>18</v>
      </c>
      <c r="D55" s="97" t="s">
        <v>179</v>
      </c>
      <c r="E55" s="97" t="s">
        <v>163</v>
      </c>
      <c r="F55" s="97" t="s">
        <v>178</v>
      </c>
      <c r="G55" s="97" t="s">
        <v>165</v>
      </c>
      <c r="H55" s="114">
        <v>81484.41</v>
      </c>
      <c r="I55" s="114">
        <v>98294.959999999992</v>
      </c>
      <c r="J55" s="114">
        <v>82444.47</v>
      </c>
      <c r="K55" s="114">
        <v>109224.88</v>
      </c>
      <c r="L55" s="114">
        <f>VLOOKUP($A55,JuryHD,'Lookup_OverUnderExpended_8-6-19'!$BS$1,FALSE)</f>
        <v>91549.82</v>
      </c>
      <c r="M55" s="117">
        <f t="shared" si="1"/>
        <v>95378.53</v>
      </c>
      <c r="N55" s="98">
        <f t="shared" si="2"/>
        <v>95378.53</v>
      </c>
      <c r="O55" s="114"/>
      <c r="P55" s="239"/>
    </row>
    <row r="56" spans="1:16" x14ac:dyDescent="0.3">
      <c r="A56" s="134" t="s">
        <v>66</v>
      </c>
      <c r="B56" s="97">
        <v>54</v>
      </c>
      <c r="C56" s="97">
        <v>18</v>
      </c>
      <c r="D56" s="97" t="s">
        <v>179</v>
      </c>
      <c r="E56" s="97" t="s">
        <v>163</v>
      </c>
      <c r="F56" s="97" t="s">
        <v>178</v>
      </c>
      <c r="G56" s="97" t="s">
        <v>165</v>
      </c>
      <c r="H56" s="114">
        <v>24037.54</v>
      </c>
      <c r="I56" s="114">
        <v>26607.079999999998</v>
      </c>
      <c r="J56" s="114">
        <v>19923.730000000003</v>
      </c>
      <c r="K56" s="114">
        <v>20205.590000000004</v>
      </c>
      <c r="L56" s="114">
        <f>VLOOKUP($A56,JuryHD,'Lookup_OverUnderExpended_8-6-19'!$BS$1,FALSE)</f>
        <v>28922.43</v>
      </c>
      <c r="M56" s="117">
        <f t="shared" si="1"/>
        <v>23914.71</v>
      </c>
      <c r="N56" s="98">
        <f t="shared" si="2"/>
        <v>23914.71</v>
      </c>
      <c r="O56" s="114"/>
      <c r="P56" s="239"/>
    </row>
    <row r="57" spans="1:16" x14ac:dyDescent="0.3">
      <c r="A57" s="134" t="s">
        <v>67</v>
      </c>
      <c r="B57" s="97">
        <v>55</v>
      </c>
      <c r="C57" s="97">
        <v>18</v>
      </c>
      <c r="D57" s="97" t="s">
        <v>179</v>
      </c>
      <c r="E57" s="97" t="s">
        <v>163</v>
      </c>
      <c r="F57" s="97" t="s">
        <v>178</v>
      </c>
      <c r="G57" s="97" t="s">
        <v>165</v>
      </c>
      <c r="H57" s="114">
        <v>41072.639999999999</v>
      </c>
      <c r="I57" s="114">
        <v>42937.539999999994</v>
      </c>
      <c r="J57" s="114">
        <v>38550.300000000003</v>
      </c>
      <c r="K57" s="114">
        <v>39540.71</v>
      </c>
      <c r="L57" s="114">
        <f>VLOOKUP($A57,JuryHD,'Lookup_OverUnderExpended_8-6-19'!$BS$1,FALSE)</f>
        <v>42399.65</v>
      </c>
      <c r="M57" s="117">
        <f t="shared" si="1"/>
        <v>40857.050000000003</v>
      </c>
      <c r="N57" s="98">
        <f t="shared" si="2"/>
        <v>40857.050000000003</v>
      </c>
      <c r="O57" s="114"/>
      <c r="P57" s="239"/>
    </row>
    <row r="58" spans="1:16" x14ac:dyDescent="0.3">
      <c r="A58" s="134" t="s">
        <v>68</v>
      </c>
      <c r="B58" s="97">
        <v>56</v>
      </c>
      <c r="C58" s="97">
        <v>18</v>
      </c>
      <c r="D58" s="97" t="s">
        <v>179</v>
      </c>
      <c r="E58" s="97" t="s">
        <v>163</v>
      </c>
      <c r="F58" s="97" t="s">
        <v>178</v>
      </c>
      <c r="G58" s="97" t="s">
        <v>165</v>
      </c>
      <c r="H58" s="114">
        <v>94828.160000000003</v>
      </c>
      <c r="I58" s="114">
        <v>105513.59</v>
      </c>
      <c r="J58" s="114">
        <v>86143.5</v>
      </c>
      <c r="K58" s="114">
        <v>90693.23000000001</v>
      </c>
      <c r="L58" s="114">
        <f>VLOOKUP($A58,JuryHD,'Lookup_OverUnderExpended_8-6-19'!$BS$1,FALSE)</f>
        <v>86178.81</v>
      </c>
      <c r="M58" s="117">
        <f t="shared" si="1"/>
        <v>92132.28</v>
      </c>
      <c r="N58" s="98">
        <f t="shared" si="2"/>
        <v>92132.28</v>
      </c>
      <c r="O58" s="114"/>
      <c r="P58" s="239"/>
    </row>
    <row r="59" spans="1:16" s="58" customFormat="1" x14ac:dyDescent="0.3">
      <c r="A59" s="134" t="s">
        <v>69</v>
      </c>
      <c r="B59" s="58">
        <v>57</v>
      </c>
      <c r="C59" s="58">
        <v>18</v>
      </c>
      <c r="D59" s="58" t="s">
        <v>179</v>
      </c>
      <c r="E59" s="58" t="s">
        <v>163</v>
      </c>
      <c r="F59" s="58" t="s">
        <v>178</v>
      </c>
      <c r="G59" s="58" t="s">
        <v>165</v>
      </c>
      <c r="H59" s="135">
        <v>56370.47</v>
      </c>
      <c r="I59" s="135">
        <v>54865.729999999996</v>
      </c>
      <c r="J59" s="135">
        <v>63410.990000000005</v>
      </c>
      <c r="K59" s="135">
        <v>57192.639999999999</v>
      </c>
      <c r="L59" s="114">
        <f>VLOOKUP($A59,JuryHD,'Lookup_OverUnderExpended_8-6-19'!$BS$1,FALSE)</f>
        <v>59383.03</v>
      </c>
      <c r="M59" s="117">
        <f t="shared" si="1"/>
        <v>58713.1</v>
      </c>
      <c r="N59" s="62">
        <f t="shared" si="2"/>
        <v>58713.1</v>
      </c>
      <c r="O59" s="114"/>
      <c r="P59" s="239"/>
    </row>
    <row r="60" spans="1:16" x14ac:dyDescent="0.3">
      <c r="A60" s="134" t="s">
        <v>111</v>
      </c>
      <c r="B60" s="97">
        <v>58</v>
      </c>
      <c r="C60" s="97">
        <v>18</v>
      </c>
      <c r="D60" s="97" t="s">
        <v>179</v>
      </c>
      <c r="E60" s="97" t="s">
        <v>163</v>
      </c>
      <c r="F60" s="97" t="s">
        <v>178</v>
      </c>
      <c r="G60" s="97" t="s">
        <v>165</v>
      </c>
      <c r="H60" s="114">
        <v>19136.68</v>
      </c>
      <c r="I60" s="114">
        <v>23579.85</v>
      </c>
      <c r="J60" s="114">
        <v>17519.36</v>
      </c>
      <c r="K60" s="114">
        <v>17690.830000000002</v>
      </c>
      <c r="L60" s="114">
        <f>VLOOKUP($A60,JuryHD,'Lookup_OverUnderExpended_8-6-19'!$BS$1,FALSE)</f>
        <v>20161.2</v>
      </c>
      <c r="M60" s="117">
        <f t="shared" si="1"/>
        <v>19737.810000000001</v>
      </c>
      <c r="N60" s="98">
        <f t="shared" si="2"/>
        <v>19737.810000000001</v>
      </c>
      <c r="O60" s="114"/>
      <c r="P60" s="239"/>
    </row>
    <row r="61" spans="1:16" x14ac:dyDescent="0.3">
      <c r="A61" s="134" t="s">
        <v>113</v>
      </c>
      <c r="B61" s="97">
        <v>59</v>
      </c>
      <c r="C61" s="97">
        <v>18</v>
      </c>
      <c r="D61" s="97" t="s">
        <v>179</v>
      </c>
      <c r="E61" s="97" t="s">
        <v>163</v>
      </c>
      <c r="F61" s="97" t="s">
        <v>178</v>
      </c>
      <c r="G61" s="97" t="s">
        <v>165</v>
      </c>
      <c r="H61" s="114">
        <v>95671.81</v>
      </c>
      <c r="I61" s="114">
        <v>81791.390000000014</v>
      </c>
      <c r="J61" s="114">
        <v>52596.92</v>
      </c>
      <c r="K61" s="114">
        <v>60567.55</v>
      </c>
      <c r="L61" s="114">
        <f>VLOOKUP($A61,JuryHD,'Lookup_OverUnderExpended_8-6-19'!$BS$1,FALSE)</f>
        <v>114302.95</v>
      </c>
      <c r="M61" s="117">
        <f t="shared" si="1"/>
        <v>77314.7</v>
      </c>
      <c r="N61" s="98">
        <f t="shared" si="2"/>
        <v>77314.7</v>
      </c>
      <c r="O61" s="114"/>
      <c r="P61" s="239"/>
    </row>
    <row r="62" spans="1:16" x14ac:dyDescent="0.3">
      <c r="A62" s="134" t="s">
        <v>71</v>
      </c>
      <c r="B62" s="97">
        <v>60</v>
      </c>
      <c r="C62" s="97">
        <v>18</v>
      </c>
      <c r="D62" s="97" t="s">
        <v>179</v>
      </c>
      <c r="E62" s="97" t="s">
        <v>163</v>
      </c>
      <c r="F62" s="97" t="s">
        <v>178</v>
      </c>
      <c r="G62" s="97" t="s">
        <v>165</v>
      </c>
      <c r="H62" s="114">
        <v>20000.440000000002</v>
      </c>
      <c r="I62" s="114">
        <v>19181.98</v>
      </c>
      <c r="J62" s="114">
        <v>14580.92</v>
      </c>
      <c r="K62" s="114">
        <v>25089.65</v>
      </c>
      <c r="L62" s="114">
        <f>VLOOKUP($A62,JuryHD,'Lookup_OverUnderExpended_8-6-19'!$BS$1,FALSE)</f>
        <v>16867.14</v>
      </c>
      <c r="M62" s="117">
        <f t="shared" si="1"/>
        <v>18929.919999999998</v>
      </c>
      <c r="N62" s="98">
        <f t="shared" si="2"/>
        <v>18929.919999999998</v>
      </c>
      <c r="O62" s="114"/>
      <c r="P62" s="239"/>
    </row>
    <row r="63" spans="1:16" x14ac:dyDescent="0.3">
      <c r="A63" s="134" t="s">
        <v>72</v>
      </c>
      <c r="B63" s="97">
        <v>61</v>
      </c>
      <c r="C63" s="97">
        <v>18</v>
      </c>
      <c r="D63" s="97" t="s">
        <v>179</v>
      </c>
      <c r="E63" s="97" t="s">
        <v>163</v>
      </c>
      <c r="F63" s="97" t="s">
        <v>178</v>
      </c>
      <c r="G63" s="97" t="s">
        <v>165</v>
      </c>
      <c r="H63" s="114">
        <v>7895.79</v>
      </c>
      <c r="I63" s="114">
        <v>7091.83</v>
      </c>
      <c r="J63" s="114">
        <v>6842.59</v>
      </c>
      <c r="K63" s="114">
        <v>6593.6200000000008</v>
      </c>
      <c r="L63" s="114">
        <f>VLOOKUP($A63,JuryHD,'Lookup_OverUnderExpended_8-6-19'!$BS$1,FALSE)</f>
        <v>7685.3700000000008</v>
      </c>
      <c r="M63" s="117">
        <f t="shared" si="1"/>
        <v>7053.35</v>
      </c>
      <c r="N63" s="98">
        <f t="shared" si="2"/>
        <v>7053.35</v>
      </c>
      <c r="O63" s="114"/>
      <c r="P63" s="239"/>
    </row>
    <row r="64" spans="1:16" x14ac:dyDescent="0.3">
      <c r="A64" s="134" t="s">
        <v>73</v>
      </c>
      <c r="B64" s="97">
        <v>62</v>
      </c>
      <c r="C64" s="97">
        <v>18</v>
      </c>
      <c r="D64" s="97" t="s">
        <v>179</v>
      </c>
      <c r="E64" s="97" t="s">
        <v>163</v>
      </c>
      <c r="F64" s="97" t="s">
        <v>178</v>
      </c>
      <c r="G64" s="97" t="s">
        <v>165</v>
      </c>
      <c r="H64" s="114">
        <v>2286.69</v>
      </c>
      <c r="I64" s="114">
        <v>3751.1800000000003</v>
      </c>
      <c r="J64" s="114">
        <v>3455.66</v>
      </c>
      <c r="K64" s="243">
        <v>5691.54</v>
      </c>
      <c r="L64" s="114">
        <f>VLOOKUP($A64,JuryHD,'Lookup_OverUnderExpended_8-6-19'!$BS$1,FALSE)</f>
        <v>4037.85</v>
      </c>
      <c r="M64" s="117">
        <f t="shared" si="1"/>
        <v>4234.0600000000004</v>
      </c>
      <c r="N64" s="98">
        <f t="shared" si="2"/>
        <v>4234.0600000000004</v>
      </c>
      <c r="O64" s="114"/>
      <c r="P64" s="239"/>
    </row>
    <row r="65" spans="1:16" x14ac:dyDescent="0.3">
      <c r="A65" s="134" t="s">
        <v>74</v>
      </c>
      <c r="B65" s="97">
        <v>63</v>
      </c>
      <c r="C65" s="97">
        <v>18</v>
      </c>
      <c r="D65" s="97" t="s">
        <v>179</v>
      </c>
      <c r="E65" s="97" t="s">
        <v>163</v>
      </c>
      <c r="F65" s="97" t="s">
        <v>178</v>
      </c>
      <c r="G65" s="97" t="s">
        <v>165</v>
      </c>
      <c r="H65" s="114">
        <v>4865.2000000000007</v>
      </c>
      <c r="I65" s="114">
        <v>0</v>
      </c>
      <c r="J65" s="114">
        <v>5172.1900000000005</v>
      </c>
      <c r="K65" s="114">
        <v>2051.9899999999998</v>
      </c>
      <c r="L65" s="114">
        <f>VLOOKUP($A65,JuryHD,'Lookup_OverUnderExpended_8-6-19'!$BS$1,FALSE)</f>
        <v>2116.21</v>
      </c>
      <c r="M65" s="117">
        <f t="shared" si="1"/>
        <v>2335.1</v>
      </c>
      <c r="N65" s="98">
        <f t="shared" si="2"/>
        <v>2335.1</v>
      </c>
      <c r="O65" s="114"/>
      <c r="P65" s="239"/>
    </row>
    <row r="66" spans="1:16" x14ac:dyDescent="0.3">
      <c r="A66" s="134" t="s">
        <v>75</v>
      </c>
      <c r="B66" s="97">
        <v>64</v>
      </c>
      <c r="C66" s="97">
        <v>18</v>
      </c>
      <c r="D66" s="97" t="s">
        <v>179</v>
      </c>
      <c r="E66" s="97" t="s">
        <v>163</v>
      </c>
      <c r="F66" s="97" t="s">
        <v>178</v>
      </c>
      <c r="G66" s="97" t="s">
        <v>165</v>
      </c>
      <c r="H66" s="114">
        <v>74453.81</v>
      </c>
      <c r="I66" s="114">
        <v>73293.820000000007</v>
      </c>
      <c r="J66" s="114">
        <v>64817.030000000006</v>
      </c>
      <c r="K66" s="114">
        <v>72526.740000000005</v>
      </c>
      <c r="L66" s="114">
        <f>VLOOKUP($A66,JuryHD,'Lookup_OverUnderExpended_8-6-19'!$BS$1,FALSE)</f>
        <v>72351.819999999992</v>
      </c>
      <c r="M66" s="117">
        <f t="shared" si="1"/>
        <v>70747.350000000006</v>
      </c>
      <c r="N66" s="98">
        <f t="shared" si="2"/>
        <v>70747.350000000006</v>
      </c>
      <c r="O66" s="114"/>
      <c r="P66" s="239"/>
    </row>
    <row r="67" spans="1:16" x14ac:dyDescent="0.3">
      <c r="A67" s="134" t="s">
        <v>76</v>
      </c>
      <c r="B67" s="97">
        <v>65</v>
      </c>
      <c r="C67" s="97">
        <v>18</v>
      </c>
      <c r="D67" s="97" t="s">
        <v>179</v>
      </c>
      <c r="E67" s="97" t="s">
        <v>163</v>
      </c>
      <c r="F67" s="97" t="s">
        <v>178</v>
      </c>
      <c r="G67" s="97" t="s">
        <v>165</v>
      </c>
      <c r="H67" s="114">
        <v>8860.3700000000008</v>
      </c>
      <c r="I67" s="114">
        <v>10255.929999999998</v>
      </c>
      <c r="J67" s="114">
        <v>9121.52</v>
      </c>
      <c r="K67" s="114">
        <v>9863.48</v>
      </c>
      <c r="L67" s="114">
        <f>VLOOKUP($A67,JuryHD,'Lookup_OverUnderExpended_8-6-19'!$BS$1,FALSE)</f>
        <v>10051.790000000001</v>
      </c>
      <c r="M67" s="117">
        <f t="shared" si="1"/>
        <v>9823.18</v>
      </c>
      <c r="N67" s="98">
        <f>IF(D$1="Average",M67,K67)</f>
        <v>9823.18</v>
      </c>
      <c r="O67" s="114"/>
      <c r="P67" s="239"/>
    </row>
    <row r="68" spans="1:16" x14ac:dyDescent="0.3">
      <c r="A68" s="134" t="s">
        <v>77</v>
      </c>
      <c r="B68" s="97">
        <v>66</v>
      </c>
      <c r="C68" s="97">
        <v>18</v>
      </c>
      <c r="D68" s="97" t="s">
        <v>179</v>
      </c>
      <c r="E68" s="97" t="s">
        <v>163</v>
      </c>
      <c r="F68" s="97" t="s">
        <v>178</v>
      </c>
      <c r="G68" s="97" t="s">
        <v>165</v>
      </c>
      <c r="H68" s="114">
        <v>13387.92</v>
      </c>
      <c r="I68" s="114">
        <v>16580.93</v>
      </c>
      <c r="J68" s="114">
        <v>13975.66</v>
      </c>
      <c r="K68" s="114">
        <v>16564.93</v>
      </c>
      <c r="L68" s="114">
        <f>VLOOKUP($A68,JuryHD,'Lookup_OverUnderExpended_8-6-19'!$BS$1,FALSE)</f>
        <v>12814.380000000001</v>
      </c>
      <c r="M68" s="117">
        <f>ROUND(AVERAGE(I68:L68),2)</f>
        <v>14983.98</v>
      </c>
      <c r="N68" s="98">
        <f>IF(D$1="Average",M68,K68)</f>
        <v>14983.98</v>
      </c>
      <c r="O68" s="114"/>
      <c r="P68" s="239"/>
    </row>
    <row r="69" spans="1:16" x14ac:dyDescent="0.3">
      <c r="A69" s="134" t="s">
        <v>78</v>
      </c>
      <c r="B69" s="97">
        <v>67</v>
      </c>
      <c r="C69" s="97">
        <v>18</v>
      </c>
      <c r="D69" s="97" t="s">
        <v>179</v>
      </c>
      <c r="E69" s="97" t="s">
        <v>163</v>
      </c>
      <c r="F69" s="97" t="s">
        <v>178</v>
      </c>
      <c r="G69" s="97" t="s">
        <v>165</v>
      </c>
      <c r="H69" s="114">
        <v>7750.87</v>
      </c>
      <c r="I69" s="114">
        <v>13340.78</v>
      </c>
      <c r="J69" s="114">
        <v>7932.3799999999992</v>
      </c>
      <c r="K69" s="114">
        <v>12792.74</v>
      </c>
      <c r="L69" s="114">
        <f>VLOOKUP($A69,JuryHD,'Lookup_OverUnderExpended_8-6-19'!$BS$1,FALSE)</f>
        <v>10808.740000000002</v>
      </c>
      <c r="M69" s="117">
        <f>ROUND(AVERAGE(I69:L69),2)</f>
        <v>11218.66</v>
      </c>
      <c r="N69" s="98">
        <f>IF(D$1="Average",M69,K69)</f>
        <v>11218.66</v>
      </c>
      <c r="O69" s="114"/>
      <c r="P69" s="239"/>
    </row>
    <row r="70" spans="1:16" x14ac:dyDescent="0.3">
      <c r="A70" s="134" t="s">
        <v>277</v>
      </c>
      <c r="H70" s="114">
        <f>SUM(H3:H69)</f>
        <v>3135640.2300000014</v>
      </c>
      <c r="I70" s="114">
        <f t="shared" ref="I70:N70" si="3">SUM(I3:I69)</f>
        <v>3104736.6900000004</v>
      </c>
      <c r="J70" s="114">
        <f t="shared" si="3"/>
        <v>2805960.0799999996</v>
      </c>
      <c r="K70" s="117">
        <f t="shared" si="3"/>
        <v>3022909.600000001</v>
      </c>
      <c r="L70" s="117">
        <f t="shared" si="3"/>
        <v>3130988.72</v>
      </c>
      <c r="M70" s="117">
        <f t="shared" si="3"/>
        <v>3016148.84</v>
      </c>
      <c r="N70" s="114">
        <f t="shared" si="3"/>
        <v>3016148.84</v>
      </c>
      <c r="P70" s="239"/>
    </row>
  </sheetData>
  <dataValidations count="1">
    <dataValidation type="list" allowBlank="1" showInputMessage="1" showErrorMessage="1" sqref="D1" xr:uid="{00000000-0002-0000-0300-000000000000}">
      <formula1>"Average,Last"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D54FA-4DB2-493E-9FF9-6B8AEFC2D596}">
  <sheetPr codeName="Sheet7">
    <pageSetUpPr fitToPage="1"/>
  </sheetPr>
  <dimension ref="A1:L52"/>
  <sheetViews>
    <sheetView showGridLines="0" view="pageBreakPreview" zoomScaleNormal="90" zoomScaleSheetLayoutView="100" zoomScalePageLayoutView="70" workbookViewId="0">
      <selection activeCell="F10" sqref="F10"/>
    </sheetView>
  </sheetViews>
  <sheetFormatPr defaultColWidth="8.88671875" defaultRowHeight="15.75" x14ac:dyDescent="0.3"/>
  <cols>
    <col min="1" max="1" width="9.109375" style="1" customWidth="1"/>
    <col min="2" max="2" width="20.6640625" style="1" customWidth="1"/>
    <col min="3" max="3" width="48.6640625" style="1" customWidth="1"/>
    <col min="4" max="4" width="17.44140625" style="1" bestFit="1" customWidth="1"/>
    <col min="5" max="6" width="23.6640625" style="1" customWidth="1"/>
    <col min="7" max="7" width="7.44140625" style="1" customWidth="1"/>
    <col min="8" max="16384" width="8.88671875" style="1"/>
  </cols>
  <sheetData>
    <row r="1" spans="1:12" ht="24" x14ac:dyDescent="0.3">
      <c r="A1" s="69" t="s">
        <v>191</v>
      </c>
      <c r="B1" s="66"/>
      <c r="C1" s="66"/>
      <c r="D1" s="66"/>
    </row>
    <row r="2" spans="1:12" ht="16.5" x14ac:dyDescent="0.3">
      <c r="A2" s="339" t="str">
        <f>Estimate!A2</f>
        <v xml:space="preserve"> Form # 4</v>
      </c>
      <c r="B2" s="339"/>
      <c r="C2" s="67"/>
      <c r="D2" s="68"/>
      <c r="G2" s="13"/>
      <c r="H2" s="13"/>
      <c r="I2" s="13"/>
      <c r="J2" s="13"/>
      <c r="K2" s="13"/>
      <c r="L2" s="13"/>
    </row>
    <row r="3" spans="1:12" ht="35.25" customHeight="1" x14ac:dyDescent="0.3">
      <c r="A3" s="351" t="str">
        <f>Estimate!A3</f>
        <v xml:space="preserve"> SFY 19/20: Q3 Apr - May - Jun
 CFY 19/20: Q4 Apr - May - Jun</v>
      </c>
      <c r="B3" s="351"/>
      <c r="C3" s="351"/>
      <c r="D3" s="68"/>
      <c r="E3" s="64"/>
      <c r="F3" s="64"/>
      <c r="G3" s="13"/>
      <c r="H3" s="13"/>
      <c r="I3" s="13"/>
      <c r="J3" s="13"/>
      <c r="K3" s="13"/>
      <c r="L3" s="13"/>
    </row>
    <row r="4" spans="1:12" ht="31.5" customHeight="1" x14ac:dyDescent="0.3">
      <c r="B4" s="15" t="s">
        <v>101</v>
      </c>
      <c r="C4" s="54" t="str">
        <f>IF(ISBLANK(Estimate!D4),"",Estimate!D4)</f>
        <v/>
      </c>
      <c r="D4" s="65"/>
      <c r="F4" s="350" t="str">
        <f>Estimate!H4</f>
        <v>CCOC Form Version 1
Created 02/07/2020</v>
      </c>
      <c r="G4" s="350"/>
      <c r="H4" s="13"/>
      <c r="I4" s="13"/>
      <c r="J4" s="13"/>
      <c r="K4" s="13"/>
      <c r="L4" s="13"/>
    </row>
    <row r="5" spans="1:12" ht="24" customHeight="1" x14ac:dyDescent="0.3">
      <c r="B5" s="13"/>
      <c r="C5" s="13"/>
      <c r="D5" s="14"/>
      <c r="E5" s="13"/>
      <c r="G5" s="13"/>
      <c r="H5" s="13"/>
      <c r="I5" s="13"/>
      <c r="J5" s="13"/>
      <c r="K5" s="13"/>
    </row>
    <row r="6" spans="1:12" ht="21" customHeight="1" x14ac:dyDescent="0.3">
      <c r="B6" s="15" t="s">
        <v>258</v>
      </c>
      <c r="C6" s="54" t="str">
        <f>Estimate!F4</f>
        <v>Apr - May - Jun</v>
      </c>
    </row>
    <row r="7" spans="1:12" ht="22.5" customHeight="1" x14ac:dyDescent="0.3"/>
    <row r="8" spans="1:12" ht="16.5" x14ac:dyDescent="0.3">
      <c r="A8" s="352" t="s">
        <v>257</v>
      </c>
      <c r="B8" s="352"/>
      <c r="C8" s="112" t="s">
        <v>204</v>
      </c>
      <c r="D8" s="112"/>
      <c r="E8" s="112"/>
    </row>
    <row r="9" spans="1:12" ht="16.5" x14ac:dyDescent="0.3">
      <c r="B9" s="55"/>
      <c r="C9" s="55"/>
    </row>
    <row r="10" spans="1:12" ht="16.5" x14ac:dyDescent="0.3">
      <c r="B10" s="55"/>
      <c r="C10" s="107" t="str">
        <f>"Estimating Quarter "&amp;C6&amp;":"</f>
        <v>Estimating Quarter Apr - May - Jun:</v>
      </c>
      <c r="D10" s="18"/>
      <c r="F10" s="109">
        <f>Estimate!F48</f>
        <v>0</v>
      </c>
    </row>
    <row r="11" spans="1:12" ht="16.5" x14ac:dyDescent="0.3">
      <c r="C11" s="56"/>
      <c r="D11" s="18"/>
    </row>
    <row r="12" spans="1:12" ht="16.5" x14ac:dyDescent="0.3">
      <c r="B12" s="104" t="s">
        <v>342</v>
      </c>
      <c r="C12" s="56"/>
      <c r="D12" s="18"/>
      <c r="E12" s="109" t="e">
        <f ca="1">INDIRECT("CF",FALSE)</f>
        <v>#N/A</v>
      </c>
    </row>
    <row r="13" spans="1:12" ht="16.5" x14ac:dyDescent="0.3">
      <c r="B13" s="104"/>
      <c r="C13" s="56"/>
      <c r="D13" s="18"/>
      <c r="E13" s="119" t="e">
        <f ca="1">IF(E12=0,"",IF(E12&gt;0,"Under-Expended","(Over)-Expended"))</f>
        <v>#N/A</v>
      </c>
    </row>
    <row r="14" spans="1:12" ht="16.5" x14ac:dyDescent="0.3">
      <c r="B14" s="104" t="s">
        <v>339</v>
      </c>
      <c r="C14" s="107"/>
      <c r="D14" s="18"/>
      <c r="E14" s="18"/>
    </row>
    <row r="15" spans="1:12" ht="16.5" x14ac:dyDescent="0.3">
      <c r="B15" s="55" t="s">
        <v>195</v>
      </c>
      <c r="C15" s="56" t="s">
        <v>293</v>
      </c>
      <c r="D15" s="18"/>
      <c r="E15" s="109">
        <f>IFERROR(SUM(INDEX('JAC Lookup'!F5:F71,MATCH(C4,'JAC Lookup'!A5:A71,0)),0),0)</f>
        <v>0</v>
      </c>
    </row>
    <row r="16" spans="1:12" ht="16.5" x14ac:dyDescent="0.3">
      <c r="B16" s="55"/>
      <c r="C16" s="56" t="s">
        <v>331</v>
      </c>
      <c r="D16" s="18"/>
      <c r="E16" s="109">
        <f>IFERROR(INDEX(PriorActualsData!$L$3:$L$69,MATCH(C4,PriorActualsData!A3:A69,0)),0)</f>
        <v>0</v>
      </c>
    </row>
    <row r="17" spans="2:6" ht="16.5" x14ac:dyDescent="0.3">
      <c r="B17" s="55"/>
      <c r="C17" s="244" t="s">
        <v>294</v>
      </c>
      <c r="D17" s="244"/>
      <c r="E17" s="109">
        <f>E15-E16</f>
        <v>0</v>
      </c>
    </row>
    <row r="18" spans="2:6" ht="16.5" x14ac:dyDescent="0.3">
      <c r="B18" s="55"/>
      <c r="C18" s="244"/>
      <c r="D18" s="244"/>
      <c r="E18" s="119" t="str">
        <f>IF(E17=0,"",IF(E17&gt;0,"Under-Expended","(Over)-Expended"))</f>
        <v/>
      </c>
    </row>
    <row r="19" spans="2:6" ht="16.5" x14ac:dyDescent="0.3">
      <c r="B19" s="104" t="s">
        <v>338</v>
      </c>
      <c r="C19" s="107"/>
      <c r="D19" s="18"/>
      <c r="E19" s="18"/>
    </row>
    <row r="20" spans="2:6" ht="16.5" x14ac:dyDescent="0.3">
      <c r="B20" s="55" t="s">
        <v>195</v>
      </c>
      <c r="C20" s="56" t="s">
        <v>332</v>
      </c>
      <c r="D20" s="18"/>
      <c r="E20" s="109">
        <f>IFERROR(INDEX('JAC Lookup'!G5:G71,MATCH(C4,'JAC Lookup'!A5:A71,0)),0)</f>
        <v>0</v>
      </c>
    </row>
    <row r="21" spans="2:6" ht="16.5" x14ac:dyDescent="0.3">
      <c r="B21" s="55"/>
      <c r="C21" s="56" t="s">
        <v>333</v>
      </c>
      <c r="D21" s="18"/>
      <c r="E21" s="106"/>
    </row>
    <row r="22" spans="2:6" ht="16.5" x14ac:dyDescent="0.3">
      <c r="B22" s="55"/>
      <c r="C22" s="109" t="s">
        <v>334</v>
      </c>
      <c r="D22" s="105"/>
      <c r="E22" s="106"/>
    </row>
    <row r="23" spans="2:6" ht="16.5" x14ac:dyDescent="0.3">
      <c r="B23" s="55"/>
      <c r="C23" s="109" t="s">
        <v>335</v>
      </c>
      <c r="D23" s="108"/>
      <c r="E23" s="109">
        <f>SUM(D22:D23)</f>
        <v>0</v>
      </c>
    </row>
    <row r="24" spans="2:6" ht="16.5" x14ac:dyDescent="0.3">
      <c r="B24" s="55"/>
      <c r="C24" s="353" t="s">
        <v>337</v>
      </c>
      <c r="D24" s="353"/>
      <c r="E24" s="109">
        <f>E20-E23</f>
        <v>0</v>
      </c>
    </row>
    <row r="25" spans="2:6" ht="16.5" x14ac:dyDescent="0.3">
      <c r="C25" s="244"/>
      <c r="D25" s="244"/>
      <c r="E25" s="119" t="str">
        <f>IF(E24=0,"",IF(E24&gt;0,"Under-Expended","(Over)-Expended"))</f>
        <v/>
      </c>
    </row>
    <row r="26" spans="2:6" ht="16.5" x14ac:dyDescent="0.3">
      <c r="B26" s="104" t="s">
        <v>344</v>
      </c>
      <c r="C26" s="244"/>
      <c r="D26" s="244"/>
      <c r="E26" s="118"/>
    </row>
    <row r="27" spans="2:6" ht="16.5" x14ac:dyDescent="0.3">
      <c r="B27" s="104"/>
      <c r="C27" s="245" t="s">
        <v>343</v>
      </c>
      <c r="D27" s="244"/>
      <c r="E27" s="109" t="e">
        <f ca="1">E12</f>
        <v>#N/A</v>
      </c>
      <c r="F27" s="264" t="e">
        <f ca="1">IF(E27=0,"",IF(E27&gt;0,"Under-Expended","(Over)-Expended"))</f>
        <v>#N/A</v>
      </c>
    </row>
    <row r="28" spans="2:6" ht="16.5" x14ac:dyDescent="0.3">
      <c r="B28" s="55" t="s">
        <v>195</v>
      </c>
      <c r="C28" s="245" t="s">
        <v>294</v>
      </c>
      <c r="E28" s="109">
        <f>+E17</f>
        <v>0</v>
      </c>
      <c r="F28" s="264" t="str">
        <f>IF(E28=0,"",IF(E28&gt;0,"Under-Expended","(Over)-Expended"))</f>
        <v/>
      </c>
    </row>
    <row r="29" spans="2:6" ht="16.5" x14ac:dyDescent="0.3">
      <c r="B29" s="55" t="s">
        <v>195</v>
      </c>
      <c r="C29" s="355" t="s">
        <v>337</v>
      </c>
      <c r="D29" s="355"/>
      <c r="E29" s="109">
        <f>+E24</f>
        <v>0</v>
      </c>
      <c r="F29" s="264" t="str">
        <f>IF(E29=0,"",IF(E29&gt;0,"Under-Expended","(Over)-Expended"))</f>
        <v/>
      </c>
    </row>
    <row r="30" spans="2:6" ht="16.5" x14ac:dyDescent="0.3">
      <c r="B30" s="55"/>
      <c r="C30" s="353" t="s">
        <v>279</v>
      </c>
      <c r="D30" s="353"/>
      <c r="E30" s="354"/>
      <c r="F30" s="109" t="e">
        <f ca="1">SUM(E27:E29)</f>
        <v>#N/A</v>
      </c>
    </row>
    <row r="31" spans="2:6" ht="16.5" x14ac:dyDescent="0.3">
      <c r="B31" s="55"/>
      <c r="C31" s="56"/>
      <c r="F31" s="119" t="e">
        <f ca="1">IF(F30=0,"",IF(F30&gt;0,"Under-Expended","(Over)-Expended"))</f>
        <v>#N/A</v>
      </c>
    </row>
    <row r="32" spans="2:6" ht="17.25" thickBot="1" x14ac:dyDescent="0.35">
      <c r="B32" s="55"/>
      <c r="C32" s="356" t="s">
        <v>280</v>
      </c>
      <c r="D32" s="356"/>
      <c r="E32" s="357"/>
      <c r="F32" s="110" t="e">
        <f ca="1">F10-F30</f>
        <v>#N/A</v>
      </c>
    </row>
    <row r="33" spans="1:7" ht="18" thickTop="1" thickBot="1" x14ac:dyDescent="0.35">
      <c r="B33" s="55"/>
      <c r="C33" s="246"/>
      <c r="D33" s="246"/>
      <c r="E33" s="120"/>
      <c r="F33" s="120"/>
    </row>
    <row r="34" spans="1:7" ht="17.25" thickBot="1" x14ac:dyDescent="0.35">
      <c r="B34" s="55"/>
      <c r="C34" s="131" t="s">
        <v>328</v>
      </c>
      <c r="D34" s="132"/>
      <c r="E34" s="132"/>
      <c r="F34" s="133"/>
    </row>
    <row r="35" spans="1:7" ht="16.5" x14ac:dyDescent="0.3">
      <c r="B35" s="55"/>
      <c r="C35" s="358" t="s">
        <v>340</v>
      </c>
      <c r="D35" s="359"/>
      <c r="E35" s="359"/>
      <c r="F35" s="125">
        <f>F10</f>
        <v>0</v>
      </c>
    </row>
    <row r="36" spans="1:7" ht="16.5" x14ac:dyDescent="0.3">
      <c r="B36" s="55"/>
      <c r="C36" s="360" t="s">
        <v>282</v>
      </c>
      <c r="D36" s="361"/>
      <c r="E36" s="361"/>
      <c r="F36" s="126"/>
    </row>
    <row r="37" spans="1:7" ht="16.5" x14ac:dyDescent="0.3">
      <c r="B37" s="55"/>
      <c r="C37" s="121"/>
      <c r="D37" s="122"/>
      <c r="E37" s="123"/>
      <c r="F37" s="127" t="str">
        <f>IF(F36=0,"",IF(F36&gt;0,"Under-Expended","(Over)-Expended"))</f>
        <v/>
      </c>
    </row>
    <row r="38" spans="1:7" ht="17.25" thickBot="1" x14ac:dyDescent="0.35">
      <c r="B38" s="55"/>
      <c r="C38" s="128"/>
      <c r="D38" s="129"/>
      <c r="E38" s="130" t="s">
        <v>283</v>
      </c>
      <c r="F38" s="124">
        <f>IF(F36&gt;0,F35-F36,F35-F36)</f>
        <v>0</v>
      </c>
    </row>
    <row r="39" spans="1:7" ht="16.5" thickBot="1" x14ac:dyDescent="0.35">
      <c r="A39" s="92"/>
      <c r="B39" s="93"/>
      <c r="C39" s="93"/>
      <c r="D39" s="93"/>
      <c r="E39" s="93"/>
      <c r="F39" s="92"/>
      <c r="G39" s="92"/>
    </row>
    <row r="40" spans="1:7" ht="16.5" thickBot="1" x14ac:dyDescent="0.35">
      <c r="A40" s="365" t="s">
        <v>243</v>
      </c>
      <c r="B40" s="366"/>
      <c r="C40" s="366"/>
      <c r="D40" s="366"/>
      <c r="E40" s="366"/>
      <c r="F40" s="366"/>
      <c r="G40" s="367"/>
    </row>
    <row r="41" spans="1:7" ht="269.45" customHeight="1" thickBot="1" x14ac:dyDescent="0.35">
      <c r="A41" s="94" t="s">
        <v>243</v>
      </c>
      <c r="B41" s="363"/>
      <c r="C41" s="363"/>
      <c r="D41" s="363"/>
      <c r="E41" s="363"/>
      <c r="F41" s="363"/>
      <c r="G41" s="364"/>
    </row>
    <row r="52" spans="6:6" x14ac:dyDescent="0.3">
      <c r="F52" s="1" t="s">
        <v>195</v>
      </c>
    </row>
  </sheetData>
  <mergeCells count="12">
    <mergeCell ref="B41:G41"/>
    <mergeCell ref="A2:B2"/>
    <mergeCell ref="A3:C3"/>
    <mergeCell ref="F4:G4"/>
    <mergeCell ref="A8:B8"/>
    <mergeCell ref="C24:D24"/>
    <mergeCell ref="C29:D29"/>
    <mergeCell ref="C30:E30"/>
    <mergeCell ref="C32:E32"/>
    <mergeCell ref="C35:E35"/>
    <mergeCell ref="C36:E36"/>
    <mergeCell ref="A40:G40"/>
  </mergeCells>
  <dataValidations count="2">
    <dataValidation type="custom" allowBlank="1" showInputMessage="1" showErrorMessage="1" promptTitle="Estimated Actual Expenditures" prompt="Estimated Actual Expenditures must be entered here. If no expenditures for the time period, enter &quot;0&quot; and put reason in the Additional Info tab below. Do not leave blank." sqref="D23" xr:uid="{059AA96E-0CCF-4C0E-9F69-E4E1200D60E2}">
      <formula1>D23=ROUND(D23,2)</formula1>
    </dataValidation>
    <dataValidation type="custom" allowBlank="1" showInputMessage="1" showErrorMessage="1" errorTitle="Dollar Amount" error="Must be dollar amount with maximum of 2 decimal places." promptTitle="Actual Expenditures" prompt="Actual Expenditures must be entered here. If no expenditures for the time period, enter &quot;0&quot; and put reason in the Additional Info tab below. Do not leave blank." sqref="D22" xr:uid="{685F8D9C-C67C-4247-B761-1CA47E773AA7}">
      <formula1>D22=ROUND(D22,2)</formula1>
    </dataValidation>
  </dataValidations>
  <pageMargins left="0.25" right="0.25" top="0.5" bottom="0.5" header="0.25" footer="0.25"/>
  <pageSetup scale="58" orientation="portrait" cellComments="asDisplayed" r:id="rId1"/>
  <headerFooter>
    <oddFooter>&amp;L&amp;"+,Regular"&amp;8&amp;K03+000Page &amp;P of &amp;N&amp;C&amp;"+,Regular"&amp;8&amp;K03+000Printed: &amp;D &amp;T&amp;R&amp;"+,Regular"&amp;8&amp;K03+000&amp;F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A6AC15-0EB3-4602-89D8-3126910ED2A1}">
          <x14:formula1>
            <xm:f>BasicLookupData!$H$2:$H$5</xm:f>
          </x14:formula1>
          <xm:sqref>C6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rgb="FFFFFF00"/>
  </sheetPr>
  <dimension ref="A1:DI82"/>
  <sheetViews>
    <sheetView zoomScale="70" zoomScaleNormal="70" workbookViewId="0">
      <pane xSplit="2" ySplit="3" topLeftCell="CA31" activePane="bottomRight" state="frozen"/>
      <selection pane="topRight" activeCell="C1" sqref="C1"/>
      <selection pane="bottomLeft" activeCell="A4" sqref="A4"/>
      <selection pane="bottomRight" activeCell="A63" sqref="A63"/>
    </sheetView>
  </sheetViews>
  <sheetFormatPr defaultColWidth="8.77734375" defaultRowHeight="15.75" x14ac:dyDescent="0.3"/>
  <cols>
    <col min="1" max="1" width="11.21875" style="97" customWidth="1"/>
    <col min="2" max="2" width="10.21875" style="115" customWidth="1"/>
    <col min="3" max="3" width="21.33203125" style="115" customWidth="1"/>
    <col min="4" max="4" width="20.21875" style="115" customWidth="1"/>
    <col min="5" max="5" width="17.44140625" style="97" bestFit="1" customWidth="1"/>
    <col min="6" max="6" width="17.77734375" style="97" bestFit="1" customWidth="1"/>
    <col min="7" max="7" width="15" style="97" customWidth="1"/>
    <col min="8" max="8" width="15.5546875" style="97" bestFit="1" customWidth="1"/>
    <col min="9" max="9" width="15.77734375" style="97" bestFit="1" customWidth="1"/>
    <col min="10" max="10" width="17.5546875" style="97" bestFit="1" customWidth="1"/>
    <col min="11" max="11" width="15.77734375" style="97" bestFit="1" customWidth="1"/>
    <col min="12" max="12" width="15" style="97" bestFit="1" customWidth="1"/>
    <col min="13" max="13" width="16.33203125" style="97" bestFit="1" customWidth="1"/>
    <col min="14" max="14" width="16.109375" style="97" bestFit="1" customWidth="1"/>
    <col min="15" max="15" width="16.44140625" style="97" bestFit="1" customWidth="1"/>
    <col min="16" max="16" width="17" style="97" bestFit="1" customWidth="1"/>
    <col min="17" max="17" width="14.21875" style="97" bestFit="1" customWidth="1"/>
    <col min="18" max="18" width="16.33203125" style="97" bestFit="1" customWidth="1"/>
    <col min="19" max="19" width="15.44140625" style="97" customWidth="1"/>
    <col min="20" max="20" width="16.44140625" style="97" bestFit="1" customWidth="1"/>
    <col min="21" max="21" width="17.21875" style="97" bestFit="1" customWidth="1"/>
    <col min="22" max="22" width="13.5546875" style="97" bestFit="1" customWidth="1"/>
    <col min="23" max="23" width="16.33203125" style="97" bestFit="1" customWidth="1"/>
    <col min="24" max="24" width="16.109375" style="97" bestFit="1" customWidth="1"/>
    <col min="25" max="25" width="17.44140625" style="97" bestFit="1" customWidth="1"/>
    <col min="26" max="26" width="16.77734375" style="97" bestFit="1" customWidth="1"/>
    <col min="27" max="27" width="15.21875" style="97" bestFit="1" customWidth="1"/>
    <col min="28" max="28" width="16.77734375" style="97" customWidth="1"/>
    <col min="29" max="29" width="17.33203125" style="97" bestFit="1" customWidth="1"/>
    <col min="30" max="31" width="17.77734375" style="97" bestFit="1" customWidth="1"/>
    <col min="32" max="32" width="15.44140625" style="97" bestFit="1" customWidth="1"/>
    <col min="33" max="34" width="16.88671875" style="97" customWidth="1"/>
    <col min="35" max="35" width="16.77734375" style="97" bestFit="1" customWidth="1"/>
    <col min="36" max="36" width="16.44140625" style="97" bestFit="1" customWidth="1"/>
    <col min="37" max="37" width="15.77734375" style="97" bestFit="1" customWidth="1"/>
    <col min="38" max="38" width="15.88671875" style="97" customWidth="1"/>
    <col min="39" max="39" width="15.109375" style="97" customWidth="1"/>
    <col min="40" max="41" width="16.77734375" style="97" bestFit="1" customWidth="1"/>
    <col min="42" max="42" width="14.21875" style="97" bestFit="1" customWidth="1"/>
    <col min="43" max="43" width="15.5546875" style="97" customWidth="1"/>
    <col min="44" max="44" width="15.33203125" style="97" customWidth="1"/>
    <col min="45" max="45" width="16.5546875" style="97" bestFit="1" customWidth="1"/>
    <col min="46" max="46" width="17" style="97" bestFit="1" customWidth="1"/>
    <col min="47" max="47" width="13.77734375" style="97" bestFit="1" customWidth="1"/>
    <col min="48" max="49" width="16" style="97" customWidth="1"/>
    <col min="50" max="51" width="16.109375" style="97" bestFit="1" customWidth="1"/>
    <col min="52" max="52" width="14.77734375" style="97" bestFit="1" customWidth="1"/>
    <col min="53" max="53" width="17.77734375" style="97" bestFit="1" customWidth="1"/>
    <col min="54" max="54" width="17.33203125" style="97" bestFit="1" customWidth="1"/>
    <col min="55" max="55" width="17.77734375" style="97" bestFit="1" customWidth="1"/>
    <col min="56" max="56" width="17" style="97" bestFit="1" customWidth="1"/>
    <col min="57" max="57" width="14.77734375" style="97" bestFit="1" customWidth="1"/>
    <col min="58" max="59" width="15.77734375" style="97" customWidth="1"/>
    <col min="60" max="67" width="22.21875" style="97" customWidth="1"/>
    <col min="68" max="75" width="22.21875" style="58" customWidth="1"/>
    <col min="76" max="76" width="17.44140625" style="97" bestFit="1" customWidth="1"/>
    <col min="77" max="77" width="16.77734375" style="97" bestFit="1" customWidth="1"/>
    <col min="78" max="80" width="22.21875" style="58" customWidth="1"/>
    <col min="81" max="81" width="17.44140625" style="97" bestFit="1" customWidth="1"/>
    <col min="82" max="82" width="16.77734375" style="97" bestFit="1" customWidth="1"/>
    <col min="83" max="83" width="16.77734375" style="97" customWidth="1"/>
    <col min="84" max="107" width="16.88671875" style="97" customWidth="1"/>
    <col min="108" max="108" width="16.77734375" style="97" bestFit="1" customWidth="1"/>
    <col min="109" max="109" width="16.33203125" style="97" bestFit="1" customWidth="1"/>
    <col min="110" max="110" width="16.77734375" style="97" bestFit="1" customWidth="1"/>
    <col min="111" max="111" width="17.109375" style="97" bestFit="1" customWidth="1"/>
    <col min="112" max="112" width="15.5546875" style="97" bestFit="1" customWidth="1"/>
    <col min="113" max="113" width="13.6640625" style="97" customWidth="1"/>
    <col min="114" max="16384" width="8.77734375" style="97"/>
  </cols>
  <sheetData>
    <row r="1" spans="1:112" ht="16.5" thickBot="1" x14ac:dyDescent="0.35">
      <c r="A1" s="97">
        <v>1</v>
      </c>
      <c r="B1" s="115">
        <v>2</v>
      </c>
      <c r="C1" s="140">
        <v>3</v>
      </c>
      <c r="D1" s="97">
        <v>4</v>
      </c>
      <c r="E1" s="140">
        <v>5</v>
      </c>
      <c r="F1" s="140">
        <v>6</v>
      </c>
      <c r="G1" s="141">
        <v>7</v>
      </c>
      <c r="H1" s="140">
        <v>8</v>
      </c>
      <c r="I1" s="115">
        <v>9</v>
      </c>
      <c r="J1" s="141">
        <v>10</v>
      </c>
      <c r="K1" s="140">
        <v>11</v>
      </c>
      <c r="L1" s="140">
        <v>12</v>
      </c>
      <c r="M1" s="141">
        <v>13</v>
      </c>
      <c r="N1" s="115">
        <v>14</v>
      </c>
      <c r="O1" s="140">
        <v>15</v>
      </c>
      <c r="P1" s="141">
        <v>16</v>
      </c>
      <c r="Q1" s="140">
        <v>17</v>
      </c>
      <c r="R1" s="140">
        <v>18</v>
      </c>
      <c r="S1" s="97">
        <v>19</v>
      </c>
      <c r="T1" s="140">
        <v>20</v>
      </c>
      <c r="U1" s="140">
        <v>21</v>
      </c>
      <c r="V1" s="141">
        <v>22</v>
      </c>
      <c r="W1" s="140">
        <v>23</v>
      </c>
      <c r="X1" s="115">
        <v>24</v>
      </c>
      <c r="Y1" s="141">
        <v>25</v>
      </c>
      <c r="Z1" s="140">
        <v>26</v>
      </c>
      <c r="AA1" s="140">
        <v>27</v>
      </c>
      <c r="AB1" s="141">
        <v>28</v>
      </c>
      <c r="AC1" s="115">
        <v>29</v>
      </c>
      <c r="AD1" s="140">
        <v>30</v>
      </c>
      <c r="AE1" s="141">
        <v>31</v>
      </c>
      <c r="AF1" s="140">
        <v>32</v>
      </c>
      <c r="AG1" s="140">
        <v>33</v>
      </c>
      <c r="AH1" s="97">
        <v>34</v>
      </c>
      <c r="AI1" s="140">
        <v>35</v>
      </c>
      <c r="AJ1" s="140">
        <v>36</v>
      </c>
      <c r="AK1" s="141">
        <v>37</v>
      </c>
      <c r="AL1" s="140">
        <v>38</v>
      </c>
      <c r="AM1" s="115">
        <v>39</v>
      </c>
      <c r="AN1" s="141">
        <v>40</v>
      </c>
      <c r="AO1" s="140">
        <v>41</v>
      </c>
      <c r="AP1" s="140">
        <v>42</v>
      </c>
      <c r="AQ1" s="141">
        <v>43</v>
      </c>
      <c r="AR1" s="115">
        <v>44</v>
      </c>
      <c r="AS1" s="140">
        <v>45</v>
      </c>
      <c r="AT1" s="141">
        <v>46</v>
      </c>
      <c r="AU1" s="140">
        <v>47</v>
      </c>
      <c r="AV1" s="140">
        <v>48</v>
      </c>
      <c r="AW1" s="97">
        <v>49</v>
      </c>
      <c r="AX1" s="140">
        <v>50</v>
      </c>
      <c r="AY1" s="140">
        <v>51</v>
      </c>
      <c r="AZ1" s="141">
        <v>52</v>
      </c>
      <c r="BA1" s="140">
        <v>53</v>
      </c>
      <c r="BB1" s="115">
        <v>54</v>
      </c>
      <c r="BC1" s="141">
        <v>55</v>
      </c>
      <c r="BD1" s="140">
        <v>56</v>
      </c>
      <c r="BE1" s="140">
        <v>57</v>
      </c>
      <c r="BF1" s="141">
        <v>58</v>
      </c>
      <c r="BG1" s="115">
        <v>59</v>
      </c>
      <c r="BH1" s="140">
        <v>60</v>
      </c>
      <c r="BI1" s="141">
        <v>61</v>
      </c>
      <c r="BJ1" s="140">
        <v>62</v>
      </c>
      <c r="BK1" s="140">
        <v>63</v>
      </c>
      <c r="BL1" s="97">
        <v>64</v>
      </c>
      <c r="BM1" s="140">
        <v>65</v>
      </c>
      <c r="BN1" s="140">
        <v>66</v>
      </c>
      <c r="BO1" s="141">
        <v>67</v>
      </c>
      <c r="BP1" s="140">
        <v>68</v>
      </c>
      <c r="BQ1" s="115">
        <v>69</v>
      </c>
      <c r="BR1" s="141">
        <v>70</v>
      </c>
      <c r="BS1" s="140">
        <v>71</v>
      </c>
      <c r="BT1" s="140">
        <v>72</v>
      </c>
      <c r="BU1" s="97">
        <v>73</v>
      </c>
      <c r="BV1" s="115">
        <v>74</v>
      </c>
      <c r="BW1" s="115">
        <v>75</v>
      </c>
      <c r="BX1" s="97">
        <v>76</v>
      </c>
      <c r="BY1" s="115">
        <v>77</v>
      </c>
      <c r="BZ1" s="115">
        <v>78</v>
      </c>
      <c r="CA1" s="97">
        <v>79</v>
      </c>
      <c r="CB1" s="115">
        <v>80</v>
      </c>
      <c r="CC1" s="115">
        <v>81</v>
      </c>
      <c r="CD1" s="97">
        <v>82</v>
      </c>
      <c r="CE1" s="97">
        <v>83</v>
      </c>
      <c r="CF1" s="97">
        <v>84</v>
      </c>
      <c r="CG1" s="97">
        <v>85</v>
      </c>
      <c r="CH1" s="97">
        <v>86</v>
      </c>
      <c r="CI1" s="97">
        <v>87</v>
      </c>
      <c r="CJ1" s="97">
        <v>88</v>
      </c>
      <c r="CK1" s="97">
        <v>89</v>
      </c>
      <c r="CL1" s="97">
        <v>90</v>
      </c>
      <c r="CM1" s="97">
        <v>91</v>
      </c>
      <c r="CN1" s="97">
        <v>92</v>
      </c>
      <c r="CO1" s="97">
        <v>93</v>
      </c>
      <c r="CP1" s="97">
        <v>94</v>
      </c>
      <c r="CQ1" s="97">
        <v>95</v>
      </c>
      <c r="CR1" s="97">
        <v>96</v>
      </c>
      <c r="CS1" s="97">
        <v>97</v>
      </c>
      <c r="CT1" s="97">
        <v>98</v>
      </c>
      <c r="CU1" s="97">
        <v>99</v>
      </c>
      <c r="CV1" s="97">
        <v>100</v>
      </c>
      <c r="CW1" s="97">
        <v>101</v>
      </c>
      <c r="CX1" s="97">
        <v>102</v>
      </c>
      <c r="CY1" s="97">
        <v>103</v>
      </c>
      <c r="CZ1" s="97">
        <v>104</v>
      </c>
      <c r="DA1" s="97">
        <v>105</v>
      </c>
      <c r="DB1" s="97">
        <v>106</v>
      </c>
      <c r="DC1" s="97">
        <v>107</v>
      </c>
      <c r="DD1" s="97">
        <v>108</v>
      </c>
      <c r="DE1" s="97">
        <v>109</v>
      </c>
      <c r="DF1" s="97">
        <v>110</v>
      </c>
      <c r="DG1" s="97">
        <v>111</v>
      </c>
      <c r="DH1" s="97">
        <v>112</v>
      </c>
    </row>
    <row r="2" spans="1:112" s="224" customFormat="1" ht="33.75" customHeight="1" x14ac:dyDescent="0.35">
      <c r="A2" s="224" t="s">
        <v>295</v>
      </c>
      <c r="C2" s="142" t="s">
        <v>260</v>
      </c>
      <c r="D2" s="371" t="s">
        <v>261</v>
      </c>
      <c r="E2" s="371"/>
      <c r="F2" s="371"/>
      <c r="G2" s="372"/>
      <c r="H2" s="143" t="s">
        <v>262</v>
      </c>
      <c r="I2" s="373" t="s">
        <v>263</v>
      </c>
      <c r="J2" s="373"/>
      <c r="K2" s="373"/>
      <c r="L2" s="373" t="s">
        <v>263</v>
      </c>
      <c r="M2" s="222" t="s">
        <v>264</v>
      </c>
      <c r="N2" s="373" t="s">
        <v>265</v>
      </c>
      <c r="O2" s="373"/>
      <c r="P2" s="373"/>
      <c r="Q2" s="373" t="s">
        <v>263</v>
      </c>
      <c r="R2" s="222" t="s">
        <v>266</v>
      </c>
      <c r="S2" s="373" t="s">
        <v>267</v>
      </c>
      <c r="T2" s="373"/>
      <c r="U2" s="373"/>
      <c r="V2" s="373" t="s">
        <v>263</v>
      </c>
      <c r="W2" s="222" t="s">
        <v>260</v>
      </c>
      <c r="X2" s="373" t="s">
        <v>268</v>
      </c>
      <c r="Y2" s="373"/>
      <c r="Z2" s="373"/>
      <c r="AA2" s="373" t="s">
        <v>263</v>
      </c>
      <c r="AB2" s="374" t="s">
        <v>296</v>
      </c>
      <c r="AC2" s="374"/>
      <c r="AD2" s="374"/>
      <c r="AE2" s="374"/>
      <c r="AF2" s="375"/>
      <c r="AG2" s="144" t="s">
        <v>262</v>
      </c>
      <c r="AH2" s="378" t="s">
        <v>297</v>
      </c>
      <c r="AI2" s="379"/>
      <c r="AJ2" s="379"/>
      <c r="AK2" s="379"/>
      <c r="AL2" s="223" t="s">
        <v>264</v>
      </c>
      <c r="AM2" s="379" t="s">
        <v>269</v>
      </c>
      <c r="AN2" s="379"/>
      <c r="AO2" s="379"/>
      <c r="AP2" s="379"/>
      <c r="AQ2" s="223" t="s">
        <v>266</v>
      </c>
      <c r="AR2" s="379" t="s">
        <v>270</v>
      </c>
      <c r="AS2" s="379"/>
      <c r="AT2" s="379"/>
      <c r="AU2" s="379"/>
      <c r="AV2" s="223" t="s">
        <v>260</v>
      </c>
      <c r="AW2" s="379" t="s">
        <v>271</v>
      </c>
      <c r="AX2" s="379"/>
      <c r="AY2" s="379"/>
      <c r="AZ2" s="379"/>
      <c r="BA2" s="368" t="s">
        <v>298</v>
      </c>
      <c r="BB2" s="368"/>
      <c r="BC2" s="368"/>
      <c r="BD2" s="368"/>
      <c r="BE2" s="369"/>
      <c r="BF2" s="145" t="s">
        <v>262</v>
      </c>
      <c r="BG2" s="370" t="s">
        <v>278</v>
      </c>
      <c r="BH2" s="370"/>
      <c r="BI2" s="370"/>
      <c r="BJ2" s="370"/>
      <c r="BK2" s="221" t="s">
        <v>264</v>
      </c>
      <c r="BL2" s="370" t="s">
        <v>299</v>
      </c>
      <c r="BM2" s="370"/>
      <c r="BN2" s="370"/>
      <c r="BO2" s="370"/>
      <c r="BP2" s="221" t="s">
        <v>266</v>
      </c>
      <c r="BQ2" s="370" t="s">
        <v>300</v>
      </c>
      <c r="BR2" s="370"/>
      <c r="BS2" s="370"/>
      <c r="BT2" s="370"/>
      <c r="BU2" s="221" t="s">
        <v>260</v>
      </c>
      <c r="BV2" s="370" t="s">
        <v>347</v>
      </c>
      <c r="BW2" s="370"/>
      <c r="BX2" s="370"/>
      <c r="BY2" s="370"/>
      <c r="BZ2" s="380" t="s">
        <v>301</v>
      </c>
      <c r="CA2" s="380"/>
      <c r="CB2" s="380"/>
      <c r="CC2" s="380"/>
      <c r="CD2" s="381"/>
      <c r="CE2" s="268" t="s">
        <v>262</v>
      </c>
      <c r="CF2" s="385" t="s">
        <v>349</v>
      </c>
      <c r="CG2" s="385"/>
      <c r="CH2" s="385"/>
      <c r="CI2" s="385"/>
      <c r="CJ2" s="269" t="s">
        <v>264</v>
      </c>
      <c r="CK2" s="385" t="s">
        <v>350</v>
      </c>
      <c r="CL2" s="385"/>
      <c r="CM2" s="385"/>
      <c r="CN2" s="385"/>
      <c r="CO2" s="269" t="s">
        <v>266</v>
      </c>
      <c r="CP2" s="385" t="s">
        <v>351</v>
      </c>
      <c r="CQ2" s="385"/>
      <c r="CR2" s="385"/>
      <c r="CS2" s="385"/>
      <c r="CT2" s="269" t="s">
        <v>260</v>
      </c>
      <c r="CU2" s="385" t="s">
        <v>352</v>
      </c>
      <c r="CV2" s="385"/>
      <c r="CW2" s="385"/>
      <c r="CX2" s="385"/>
      <c r="CY2" s="386" t="s">
        <v>353</v>
      </c>
      <c r="CZ2" s="386"/>
      <c r="DA2" s="386"/>
      <c r="DB2" s="386"/>
      <c r="DC2" s="387"/>
      <c r="DD2" s="382" t="s">
        <v>348</v>
      </c>
      <c r="DE2" s="383"/>
      <c r="DF2" s="383"/>
      <c r="DG2" s="383"/>
      <c r="DH2" s="384"/>
    </row>
    <row r="3" spans="1:112" s="224" customFormat="1" ht="93.75" customHeight="1" x14ac:dyDescent="0.3">
      <c r="A3" s="224" t="s">
        <v>272</v>
      </c>
      <c r="B3" s="116" t="s">
        <v>273</v>
      </c>
      <c r="C3" s="146" t="s">
        <v>302</v>
      </c>
      <c r="D3" s="147" t="s">
        <v>303</v>
      </c>
      <c r="E3" s="148" t="s">
        <v>274</v>
      </c>
      <c r="F3" s="148" t="s">
        <v>275</v>
      </c>
      <c r="G3" s="149" t="s">
        <v>276</v>
      </c>
      <c r="H3" s="150" t="s">
        <v>302</v>
      </c>
      <c r="I3" s="151" t="s">
        <v>303</v>
      </c>
      <c r="J3" s="152" t="s">
        <v>274</v>
      </c>
      <c r="K3" s="152" t="s">
        <v>275</v>
      </c>
      <c r="L3" s="151" t="s">
        <v>276</v>
      </c>
      <c r="M3" s="151" t="s">
        <v>302</v>
      </c>
      <c r="N3" s="151" t="s">
        <v>303</v>
      </c>
      <c r="O3" s="152" t="s">
        <v>274</v>
      </c>
      <c r="P3" s="152" t="s">
        <v>275</v>
      </c>
      <c r="Q3" s="151" t="s">
        <v>276</v>
      </c>
      <c r="R3" s="151" t="s">
        <v>302</v>
      </c>
      <c r="S3" s="151" t="s">
        <v>303</v>
      </c>
      <c r="T3" s="152" t="s">
        <v>274</v>
      </c>
      <c r="U3" s="152" t="s">
        <v>275</v>
      </c>
      <c r="V3" s="151" t="s">
        <v>276</v>
      </c>
      <c r="W3" s="151" t="s">
        <v>302</v>
      </c>
      <c r="X3" s="151" t="s">
        <v>303</v>
      </c>
      <c r="Y3" s="152" t="s">
        <v>274</v>
      </c>
      <c r="Z3" s="152" t="s">
        <v>275</v>
      </c>
      <c r="AA3" s="151" t="s">
        <v>276</v>
      </c>
      <c r="AB3" s="151" t="s">
        <v>302</v>
      </c>
      <c r="AC3" s="151" t="s">
        <v>303</v>
      </c>
      <c r="AD3" s="152" t="s">
        <v>274</v>
      </c>
      <c r="AE3" s="152" t="s">
        <v>275</v>
      </c>
      <c r="AF3" s="153" t="s">
        <v>276</v>
      </c>
      <c r="AG3" s="154" t="s">
        <v>302</v>
      </c>
      <c r="AH3" s="155" t="s">
        <v>303</v>
      </c>
      <c r="AI3" s="156" t="s">
        <v>274</v>
      </c>
      <c r="AJ3" s="156" t="s">
        <v>275</v>
      </c>
      <c r="AK3" s="155" t="s">
        <v>276</v>
      </c>
      <c r="AL3" s="155" t="s">
        <v>302</v>
      </c>
      <c r="AM3" s="155" t="s">
        <v>303</v>
      </c>
      <c r="AN3" s="156" t="s">
        <v>274</v>
      </c>
      <c r="AO3" s="156" t="s">
        <v>275</v>
      </c>
      <c r="AP3" s="155" t="s">
        <v>276</v>
      </c>
      <c r="AQ3" s="155" t="s">
        <v>302</v>
      </c>
      <c r="AR3" s="155" t="s">
        <v>303</v>
      </c>
      <c r="AS3" s="156" t="s">
        <v>274</v>
      </c>
      <c r="AT3" s="156" t="s">
        <v>275</v>
      </c>
      <c r="AU3" s="155" t="s">
        <v>276</v>
      </c>
      <c r="AV3" s="155" t="s">
        <v>302</v>
      </c>
      <c r="AW3" s="155" t="s">
        <v>303</v>
      </c>
      <c r="AX3" s="156" t="s">
        <v>274</v>
      </c>
      <c r="AY3" s="156" t="s">
        <v>275</v>
      </c>
      <c r="AZ3" s="155" t="s">
        <v>276</v>
      </c>
      <c r="BA3" s="155" t="s">
        <v>302</v>
      </c>
      <c r="BB3" s="155" t="s">
        <v>303</v>
      </c>
      <c r="BC3" s="156" t="s">
        <v>274</v>
      </c>
      <c r="BD3" s="156" t="s">
        <v>275</v>
      </c>
      <c r="BE3" s="157" t="s">
        <v>276</v>
      </c>
      <c r="BF3" s="158" t="s">
        <v>302</v>
      </c>
      <c r="BG3" s="159" t="s">
        <v>303</v>
      </c>
      <c r="BH3" s="160" t="s">
        <v>274</v>
      </c>
      <c r="BI3" s="160" t="s">
        <v>275</v>
      </c>
      <c r="BJ3" s="159" t="s">
        <v>276</v>
      </c>
      <c r="BK3" s="159" t="s">
        <v>302</v>
      </c>
      <c r="BL3" s="159" t="s">
        <v>303</v>
      </c>
      <c r="BM3" s="160" t="s">
        <v>274</v>
      </c>
      <c r="BN3" s="160" t="s">
        <v>275</v>
      </c>
      <c r="BO3" s="159" t="s">
        <v>276</v>
      </c>
      <c r="BP3" s="159" t="s">
        <v>302</v>
      </c>
      <c r="BQ3" s="159" t="s">
        <v>303</v>
      </c>
      <c r="BR3" s="160" t="s">
        <v>274</v>
      </c>
      <c r="BS3" s="160" t="s">
        <v>275</v>
      </c>
      <c r="BT3" s="159" t="s">
        <v>276</v>
      </c>
      <c r="BU3" s="159" t="s">
        <v>302</v>
      </c>
      <c r="BV3" s="159" t="s">
        <v>303</v>
      </c>
      <c r="BW3" s="160" t="s">
        <v>274</v>
      </c>
      <c r="BX3" s="160" t="s">
        <v>275</v>
      </c>
      <c r="BY3" s="159" t="s">
        <v>276</v>
      </c>
      <c r="BZ3" s="159" t="s">
        <v>302</v>
      </c>
      <c r="CA3" s="159" t="s">
        <v>303</v>
      </c>
      <c r="CB3" s="160" t="s">
        <v>274</v>
      </c>
      <c r="CC3" s="160" t="s">
        <v>275</v>
      </c>
      <c r="CD3" s="161" t="s">
        <v>276</v>
      </c>
      <c r="CE3" s="270" t="s">
        <v>302</v>
      </c>
      <c r="CF3" s="271" t="s">
        <v>303</v>
      </c>
      <c r="CG3" s="272" t="s">
        <v>274</v>
      </c>
      <c r="CH3" s="272" t="s">
        <v>275</v>
      </c>
      <c r="CI3" s="271" t="s">
        <v>276</v>
      </c>
      <c r="CJ3" s="271" t="s">
        <v>302</v>
      </c>
      <c r="CK3" s="271" t="s">
        <v>303</v>
      </c>
      <c r="CL3" s="272" t="s">
        <v>274</v>
      </c>
      <c r="CM3" s="272" t="s">
        <v>275</v>
      </c>
      <c r="CN3" s="271" t="s">
        <v>276</v>
      </c>
      <c r="CO3" s="271" t="s">
        <v>302</v>
      </c>
      <c r="CP3" s="271" t="s">
        <v>303</v>
      </c>
      <c r="CQ3" s="272" t="s">
        <v>274</v>
      </c>
      <c r="CR3" s="272" t="s">
        <v>275</v>
      </c>
      <c r="CS3" s="271" t="s">
        <v>276</v>
      </c>
      <c r="CT3" s="271" t="s">
        <v>302</v>
      </c>
      <c r="CU3" s="271" t="s">
        <v>303</v>
      </c>
      <c r="CV3" s="272" t="s">
        <v>274</v>
      </c>
      <c r="CW3" s="272" t="s">
        <v>275</v>
      </c>
      <c r="CX3" s="271" t="s">
        <v>276</v>
      </c>
      <c r="CY3" s="271" t="s">
        <v>302</v>
      </c>
      <c r="CZ3" s="271" t="s">
        <v>303</v>
      </c>
      <c r="DA3" s="272" t="s">
        <v>274</v>
      </c>
      <c r="DB3" s="272" t="s">
        <v>275</v>
      </c>
      <c r="DC3" s="273" t="s">
        <v>276</v>
      </c>
      <c r="DD3" s="162" t="s">
        <v>302</v>
      </c>
      <c r="DE3" s="163" t="s">
        <v>303</v>
      </c>
      <c r="DF3" s="164" t="s">
        <v>274</v>
      </c>
      <c r="DG3" s="164" t="s">
        <v>275</v>
      </c>
      <c r="DH3" s="165" t="s">
        <v>276</v>
      </c>
    </row>
    <row r="4" spans="1:112" x14ac:dyDescent="0.3">
      <c r="A4" s="97" t="s">
        <v>16</v>
      </c>
      <c r="B4" s="115">
        <v>8</v>
      </c>
      <c r="C4" s="166">
        <v>29900</v>
      </c>
      <c r="D4" s="167">
        <v>29525.18</v>
      </c>
      <c r="E4" s="168">
        <v>29525.18</v>
      </c>
      <c r="F4" s="168">
        <v>40025</v>
      </c>
      <c r="G4" s="169">
        <f>ROUND((E4-F4),2)</f>
        <v>-10499.82</v>
      </c>
      <c r="H4" s="170">
        <v>25600</v>
      </c>
      <c r="I4" s="168">
        <v>24270.83</v>
      </c>
      <c r="J4" s="168">
        <v>24270.825983999999</v>
      </c>
      <c r="K4" s="168">
        <v>43541.159999999996</v>
      </c>
      <c r="L4" s="171">
        <f t="shared" ref="L4:L67" si="0">ROUND((J4-K4),2)</f>
        <v>-19270.330000000002</v>
      </c>
      <c r="M4" s="168">
        <v>25600</v>
      </c>
      <c r="N4" s="168">
        <v>25600</v>
      </c>
      <c r="O4" s="168">
        <v>25600</v>
      </c>
      <c r="P4" s="168">
        <v>44730.89</v>
      </c>
      <c r="Q4" s="171">
        <f>ROUND((O4-P4),2)</f>
        <v>-19130.89</v>
      </c>
      <c r="R4" s="168">
        <v>41100</v>
      </c>
      <c r="S4" s="168">
        <v>98641.139840000003</v>
      </c>
      <c r="T4" s="168">
        <v>98641.139840000003</v>
      </c>
      <c r="U4" s="168">
        <v>47650.020000000004</v>
      </c>
      <c r="V4" s="171">
        <f>ROUND((T4-U4),2)</f>
        <v>50991.12</v>
      </c>
      <c r="W4" s="168">
        <v>39600</v>
      </c>
      <c r="X4" s="168">
        <v>38847.599999999999</v>
      </c>
      <c r="Y4" s="168">
        <v>38847.599999999999</v>
      </c>
      <c r="Z4" s="168">
        <v>41037.009999999995</v>
      </c>
      <c r="AA4" s="171">
        <f>ROUND((Y4-Z4),2)</f>
        <v>-2189.41</v>
      </c>
      <c r="AB4" s="172">
        <f>SUM(H4,M4,R4,W4)</f>
        <v>131900</v>
      </c>
      <c r="AC4" s="172">
        <f>SUM(I4,N4,S4,X4)</f>
        <v>187359.56984000001</v>
      </c>
      <c r="AD4" s="172">
        <f>SUM(J4,O4,T4,Y4)</f>
        <v>187359.56582400002</v>
      </c>
      <c r="AE4" s="172">
        <f>SUM(K4,P4,U4,Z4)</f>
        <v>176959.08000000002</v>
      </c>
      <c r="AF4" s="173">
        <f>ROUND((AD4-AE4),2)</f>
        <v>10400.49</v>
      </c>
      <c r="AG4" s="170">
        <v>38000</v>
      </c>
      <c r="AH4" s="168">
        <v>35909.919999999998</v>
      </c>
      <c r="AI4" s="168">
        <v>35909.919999999998</v>
      </c>
      <c r="AJ4" s="168">
        <v>52486.18</v>
      </c>
      <c r="AK4" s="171">
        <f>ROUND((AI4-AJ4),2)</f>
        <v>-16576.259999999998</v>
      </c>
      <c r="AL4" s="168">
        <v>41000</v>
      </c>
      <c r="AM4" s="168">
        <v>47563.09</v>
      </c>
      <c r="AN4" s="168">
        <v>47563.09</v>
      </c>
      <c r="AO4" s="168">
        <v>52552.009999999995</v>
      </c>
      <c r="AP4" s="171">
        <f>ROUND((AN4-AO4),2)</f>
        <v>-4988.92</v>
      </c>
      <c r="AQ4" s="168">
        <v>54200</v>
      </c>
      <c r="AR4" s="168">
        <v>75864.509999999995</v>
      </c>
      <c r="AS4" s="168">
        <v>75094.142618298691</v>
      </c>
      <c r="AT4" s="168">
        <v>50673.770000000004</v>
      </c>
      <c r="AU4" s="171">
        <f>ROUND((AS4-AT4),2)</f>
        <v>24420.37</v>
      </c>
      <c r="AV4" s="168">
        <v>54820</v>
      </c>
      <c r="AW4" s="168">
        <v>53640.21</v>
      </c>
      <c r="AX4" s="168">
        <v>51639.93</v>
      </c>
      <c r="AY4" s="171">
        <v>50311.35</v>
      </c>
      <c r="AZ4" s="171">
        <f>ROUND((AX4-AY4),2)</f>
        <v>1328.58</v>
      </c>
      <c r="BA4" s="172">
        <f>SUM(AG4,AL4,AQ4,AV4)</f>
        <v>188020</v>
      </c>
      <c r="BB4" s="172">
        <f>SUM(AH4,AM4,AR4,AW4)</f>
        <v>212977.72999999998</v>
      </c>
      <c r="BC4" s="172">
        <f>SUM(AI4,AN4,AS4,AX4)</f>
        <v>210207.08261829868</v>
      </c>
      <c r="BD4" s="172">
        <f>SUM(AJ4,AO4,AT4,AY4)</f>
        <v>206023.31000000003</v>
      </c>
      <c r="BE4" s="173">
        <f>ROUND((BC4-BD4),2)</f>
        <v>4183.7700000000004</v>
      </c>
      <c r="BF4" s="170">
        <v>52000</v>
      </c>
      <c r="BG4" s="168">
        <v>25384.18</v>
      </c>
      <c r="BH4" s="168">
        <v>23440.378666719436</v>
      </c>
      <c r="BI4" s="174">
        <v>49140.28</v>
      </c>
      <c r="BJ4" s="168">
        <f>ROUND((BH4-BI4),2)</f>
        <v>-25699.9</v>
      </c>
      <c r="BK4" s="168">
        <v>56940</v>
      </c>
      <c r="BL4" s="168">
        <v>85198.15</v>
      </c>
      <c r="BM4" s="168">
        <v>80096.320925832115</v>
      </c>
      <c r="BN4" s="171">
        <v>50678.62</v>
      </c>
      <c r="BO4" s="168">
        <f>ROUND((BM4-BN4),2)</f>
        <v>29417.7</v>
      </c>
      <c r="BP4" s="175">
        <v>55500</v>
      </c>
      <c r="BQ4" s="175">
        <v>51124.34</v>
      </c>
      <c r="BR4" s="248">
        <v>49388.52</v>
      </c>
      <c r="BS4" s="247">
        <v>48782.080000000002</v>
      </c>
      <c r="BT4" s="175">
        <f>ROUND((BR4-BS4),2)</f>
        <v>606.44000000000005</v>
      </c>
      <c r="BU4" s="175">
        <v>58800</v>
      </c>
      <c r="BV4" s="175">
        <v>37931.61</v>
      </c>
      <c r="BW4" s="248">
        <v>32687.99</v>
      </c>
      <c r="BX4" s="247">
        <v>50959.34</v>
      </c>
      <c r="BY4" s="175">
        <f>ROUND((BW4-BX4),2)</f>
        <v>-18271.349999999999</v>
      </c>
      <c r="BZ4" s="176">
        <f>SUM(BF4,BK4,BP4,BU4)</f>
        <v>223240</v>
      </c>
      <c r="CA4" s="176">
        <f>SUM(BG4,BL4,BQ4,BV4)</f>
        <v>199638.27999999997</v>
      </c>
      <c r="CB4" s="176">
        <f>SUM(BH4,BM4,BR4,BW4)</f>
        <v>185613.20959255155</v>
      </c>
      <c r="CC4" s="176">
        <f>SUM(BI4,BN4,BS4,BX4)</f>
        <v>199560.31999999998</v>
      </c>
      <c r="CD4" s="177">
        <f>ROUND((CB4-CC4),2)</f>
        <v>-13947.11</v>
      </c>
      <c r="CE4" s="170">
        <v>51000</v>
      </c>
      <c r="CF4" s="168">
        <v>62840.18</v>
      </c>
      <c r="CG4" s="168">
        <v>54771.44</v>
      </c>
      <c r="CH4" s="174">
        <v>48065.66</v>
      </c>
      <c r="CI4" s="168">
        <f>ROUND((CG4-CH4),2)</f>
        <v>6705.78</v>
      </c>
      <c r="CJ4" s="168"/>
      <c r="CK4" s="168"/>
      <c r="CL4" s="168"/>
      <c r="CM4" s="171"/>
      <c r="CN4" s="168">
        <f>ROUND((CL4-CM4),2)</f>
        <v>0</v>
      </c>
      <c r="CO4" s="175"/>
      <c r="CP4" s="175"/>
      <c r="CQ4" s="248"/>
      <c r="CR4" s="247"/>
      <c r="CS4" s="175">
        <f>ROUND((CQ4-CR4),2)</f>
        <v>0</v>
      </c>
      <c r="CT4" s="175"/>
      <c r="CU4" s="175"/>
      <c r="CV4" s="248"/>
      <c r="CW4" s="247"/>
      <c r="CX4" s="175">
        <f>ROUND((CV4-CW4),2)</f>
        <v>0</v>
      </c>
      <c r="CY4" s="176">
        <f>SUM(CE4,CJ4,CO4,CT4)</f>
        <v>51000</v>
      </c>
      <c r="CZ4" s="176">
        <f>SUM(CF4,CK4,CP4,CU4)</f>
        <v>62840.18</v>
      </c>
      <c r="DA4" s="176">
        <f>SUM(CG4,CL4,CQ4,CV4)</f>
        <v>54771.44</v>
      </c>
      <c r="DB4" s="176">
        <f>SUM(CH4,CM4,CR4,CW4)</f>
        <v>48065.66</v>
      </c>
      <c r="DC4" s="177">
        <f>ROUND((DA4-DB4),2)</f>
        <v>6705.78</v>
      </c>
      <c r="DD4" s="178">
        <f>SUM(C4,AB4,BA4,BZ4,CY4)</f>
        <v>624060</v>
      </c>
      <c r="DE4" s="176">
        <f>SUM(D4,AC4,BB4,CA4,CZ4)</f>
        <v>692340.93984000001</v>
      </c>
      <c r="DF4" s="176">
        <f t="shared" ref="DF4:DG4" si="1">SUM(E4,AD4,BC4,CB4,DA4)</f>
        <v>667476.47803485021</v>
      </c>
      <c r="DG4" s="176">
        <f t="shared" si="1"/>
        <v>670633.37</v>
      </c>
      <c r="DH4" s="177">
        <f>ROUND((DF4-DG4),2)</f>
        <v>-3156.89</v>
      </c>
    </row>
    <row r="5" spans="1:112" x14ac:dyDescent="0.3">
      <c r="A5" s="97" t="s">
        <v>17</v>
      </c>
      <c r="B5" s="115">
        <v>3</v>
      </c>
      <c r="C5" s="166">
        <v>4541</v>
      </c>
      <c r="D5" s="167">
        <v>4484.07</v>
      </c>
      <c r="E5" s="168">
        <v>4484.07</v>
      </c>
      <c r="F5" s="168">
        <v>3399.79</v>
      </c>
      <c r="G5" s="169">
        <f t="shared" ref="G5:G66" si="2">ROUND((E5-F5),2)</f>
        <v>1084.28</v>
      </c>
      <c r="H5" s="170">
        <v>4541</v>
      </c>
      <c r="I5" s="168">
        <v>4305.2299999999996</v>
      </c>
      <c r="J5" s="168">
        <v>4305.2273747400004</v>
      </c>
      <c r="K5" s="168">
        <v>4737.9699999999993</v>
      </c>
      <c r="L5" s="171">
        <f t="shared" si="0"/>
        <v>-432.74</v>
      </c>
      <c r="M5" s="168">
        <v>4355</v>
      </c>
      <c r="N5" s="168">
        <v>3270.7200000000003</v>
      </c>
      <c r="O5" s="168">
        <v>3270.7200000000003</v>
      </c>
      <c r="P5" s="168">
        <v>7557.68</v>
      </c>
      <c r="Q5" s="171">
        <f t="shared" ref="Q5:Q68" si="3">ROUND((O5-P5),2)</f>
        <v>-4286.96</v>
      </c>
      <c r="R5" s="168">
        <v>4355</v>
      </c>
      <c r="S5" s="168">
        <v>8757.5003199999992</v>
      </c>
      <c r="T5" s="168">
        <v>8757.5003199999992</v>
      </c>
      <c r="U5" s="168">
        <v>5414.920000000001</v>
      </c>
      <c r="V5" s="171">
        <f t="shared" ref="V5:V68" si="4">ROUND((T5-U5),2)</f>
        <v>3342.58</v>
      </c>
      <c r="W5" s="168">
        <v>4355</v>
      </c>
      <c r="X5" s="168">
        <v>4272.25</v>
      </c>
      <c r="Y5" s="168">
        <v>4272.25</v>
      </c>
      <c r="Z5" s="168">
        <v>7239.93</v>
      </c>
      <c r="AA5" s="171">
        <f t="shared" ref="AA5:AA68" si="5">ROUND((Y5-Z5),2)</f>
        <v>-2967.68</v>
      </c>
      <c r="AB5" s="172">
        <f t="shared" ref="AB5:AE68" si="6">SUM(H5,M5,R5,W5)</f>
        <v>17606</v>
      </c>
      <c r="AC5" s="172">
        <f t="shared" si="6"/>
        <v>20605.70032</v>
      </c>
      <c r="AD5" s="172">
        <f t="shared" si="6"/>
        <v>20605.69769474</v>
      </c>
      <c r="AE5" s="172">
        <f t="shared" si="6"/>
        <v>24950.5</v>
      </c>
      <c r="AF5" s="173">
        <f t="shared" ref="AF5:AF68" si="7">ROUND((AD5-AE5),2)</f>
        <v>-4344.8</v>
      </c>
      <c r="AG5" s="170">
        <v>4395</v>
      </c>
      <c r="AH5" s="168">
        <v>4687.84</v>
      </c>
      <c r="AI5" s="168">
        <v>4687.84</v>
      </c>
      <c r="AJ5" s="168">
        <v>6704.76</v>
      </c>
      <c r="AK5" s="171">
        <f t="shared" ref="AK5:AK68" si="8">ROUND((AI5-AJ5),2)</f>
        <v>-2016.92</v>
      </c>
      <c r="AL5" s="168">
        <v>4395</v>
      </c>
      <c r="AM5" s="168">
        <v>9226.08</v>
      </c>
      <c r="AN5" s="168">
        <v>9226.08</v>
      </c>
      <c r="AO5" s="168">
        <v>9710.66</v>
      </c>
      <c r="AP5" s="171">
        <f t="shared" ref="AP5:AP68" si="9">ROUND((AN5-AO5),2)</f>
        <v>-484.58</v>
      </c>
      <c r="AQ5" s="168">
        <v>4395</v>
      </c>
      <c r="AR5" s="168">
        <v>10157.02</v>
      </c>
      <c r="AS5" s="168">
        <v>10053.880377753871</v>
      </c>
      <c r="AT5" s="168">
        <v>10425.119999999999</v>
      </c>
      <c r="AU5" s="171">
        <f t="shared" ref="AU5:AU68" si="10">ROUND((AS5-AT5),2)</f>
        <v>-371.24</v>
      </c>
      <c r="AV5" s="168">
        <v>4395</v>
      </c>
      <c r="AW5" s="168">
        <v>9197.119999999999</v>
      </c>
      <c r="AX5" s="168">
        <v>8854.15</v>
      </c>
      <c r="AY5" s="171">
        <v>10382.91</v>
      </c>
      <c r="AZ5" s="171">
        <f t="shared" ref="AZ5:AZ68" si="11">ROUND((AX5-AY5),2)</f>
        <v>-1528.76</v>
      </c>
      <c r="BA5" s="172">
        <f t="shared" ref="BA5:BD68" si="12">SUM(AG5,AL5,AQ5,AV5)</f>
        <v>17580</v>
      </c>
      <c r="BB5" s="172">
        <f t="shared" si="12"/>
        <v>33268.06</v>
      </c>
      <c r="BC5" s="172">
        <f t="shared" si="12"/>
        <v>32821.95037775387</v>
      </c>
      <c r="BD5" s="172">
        <f t="shared" si="12"/>
        <v>37223.449999999997</v>
      </c>
      <c r="BE5" s="173">
        <f t="shared" ref="BE5:BE68" si="13">ROUND((BC5-BD5),2)</f>
        <v>-4401.5</v>
      </c>
      <c r="BF5" s="170">
        <v>4395</v>
      </c>
      <c r="BG5" s="168">
        <v>3864.87</v>
      </c>
      <c r="BH5" s="168">
        <v>3568.9163998066492</v>
      </c>
      <c r="BI5" s="174">
        <v>6598.0400000000009</v>
      </c>
      <c r="BJ5" s="168">
        <f t="shared" ref="BJ5:BJ69" si="14">ROUND((BH5-BI5),2)</f>
        <v>-3029.12</v>
      </c>
      <c r="BK5" s="168">
        <v>8234</v>
      </c>
      <c r="BL5" s="168">
        <v>18598.150000000001</v>
      </c>
      <c r="BM5" s="168">
        <v>17484.457010237486</v>
      </c>
      <c r="BN5" s="171">
        <v>9613.49</v>
      </c>
      <c r="BO5" s="168">
        <f t="shared" ref="BO5:BO68" si="15">ROUND((BM5-BN5),2)</f>
        <v>7870.97</v>
      </c>
      <c r="BP5" s="175">
        <v>7300</v>
      </c>
      <c r="BQ5" s="175">
        <v>0</v>
      </c>
      <c r="BR5" s="248">
        <v>0</v>
      </c>
      <c r="BS5" s="247">
        <v>10102.23</v>
      </c>
      <c r="BT5" s="175">
        <f t="shared" ref="BT5:BT68" si="16">ROUND((BR5-BS5),2)</f>
        <v>-10102.23</v>
      </c>
      <c r="BU5" s="175">
        <v>8253</v>
      </c>
      <c r="BV5" s="175">
        <v>9922.880000000001</v>
      </c>
      <c r="BW5" s="248">
        <v>8551.15</v>
      </c>
      <c r="BX5" s="247">
        <v>9632.77</v>
      </c>
      <c r="BY5" s="175">
        <f t="shared" ref="BY5:BY68" si="17">ROUND((BW5-BX5),2)</f>
        <v>-1081.6199999999999</v>
      </c>
      <c r="BZ5" s="176">
        <f t="shared" ref="BZ5:CC68" si="18">SUM(BF5,BK5,BP5,BU5)</f>
        <v>28182</v>
      </c>
      <c r="CA5" s="176">
        <f t="shared" si="18"/>
        <v>32385.9</v>
      </c>
      <c r="CB5" s="176">
        <f t="shared" si="18"/>
        <v>29604.523410044138</v>
      </c>
      <c r="CC5" s="176">
        <f t="shared" si="18"/>
        <v>35946.53</v>
      </c>
      <c r="CD5" s="177">
        <f t="shared" ref="CD5:CD68" si="19">ROUND((CB5-CC5),2)</f>
        <v>-6342.01</v>
      </c>
      <c r="CE5" s="170">
        <v>8253</v>
      </c>
      <c r="CF5" s="168">
        <v>17758.809999999998</v>
      </c>
      <c r="CG5" s="168">
        <v>15478.56</v>
      </c>
      <c r="CH5" s="174">
        <v>8008.97</v>
      </c>
      <c r="CI5" s="168">
        <f t="shared" ref="CI5:CI69" si="20">ROUND((CG5-CH5),2)</f>
        <v>7469.59</v>
      </c>
      <c r="CJ5" s="168"/>
      <c r="CK5" s="168"/>
      <c r="CL5" s="168"/>
      <c r="CM5" s="171"/>
      <c r="CN5" s="168">
        <f t="shared" ref="CN5:CN68" si="21">ROUND((CL5-CM5),2)</f>
        <v>0</v>
      </c>
      <c r="CO5" s="175"/>
      <c r="CP5" s="175"/>
      <c r="CQ5" s="248"/>
      <c r="CR5" s="247"/>
      <c r="CS5" s="175">
        <f t="shared" ref="CS5:CS68" si="22">ROUND((CQ5-CR5),2)</f>
        <v>0</v>
      </c>
      <c r="CT5" s="175"/>
      <c r="CU5" s="175"/>
      <c r="CV5" s="248"/>
      <c r="CW5" s="247"/>
      <c r="CX5" s="175">
        <f t="shared" ref="CX5:CX68" si="23">ROUND((CV5-CW5),2)</f>
        <v>0</v>
      </c>
      <c r="CY5" s="176">
        <f t="shared" ref="CY5:CY68" si="24">SUM(CE5,CJ5,CO5,CT5)</f>
        <v>8253</v>
      </c>
      <c r="CZ5" s="176">
        <f t="shared" ref="CZ5:CZ68" si="25">SUM(CF5,CK5,CP5,CU5)</f>
        <v>17758.809999999998</v>
      </c>
      <c r="DA5" s="176">
        <f t="shared" ref="DA5:DA18" si="26">SUM(CG5,CL5,CQ5,CV5)</f>
        <v>15478.56</v>
      </c>
      <c r="DB5" s="176">
        <f t="shared" ref="DB5:DB67" si="27">SUM(CH5,CM5,CR5,CW5)</f>
        <v>8008.97</v>
      </c>
      <c r="DC5" s="177">
        <f t="shared" ref="DC5:DC68" si="28">ROUND((DA5-DB5),2)</f>
        <v>7469.59</v>
      </c>
      <c r="DD5" s="178">
        <f t="shared" ref="DD5:DD68" si="29">SUM(C5,AB5,BA5,BZ5,CY5)</f>
        <v>76162</v>
      </c>
      <c r="DE5" s="176">
        <f t="shared" ref="DE5:DE68" si="30">SUM(D5,AC5,BB5,CA5,CZ5)</f>
        <v>108502.54032</v>
      </c>
      <c r="DF5" s="176">
        <f t="shared" ref="DF5:DF68" si="31">SUM(E5,AD5,BC5,CB5,DA5)</f>
        <v>102994.80148253799</v>
      </c>
      <c r="DG5" s="176">
        <f t="shared" ref="DG5:DG68" si="32">SUM(F5,AE5,BD5,CC5,DB5)</f>
        <v>109529.23999999999</v>
      </c>
      <c r="DH5" s="177">
        <f t="shared" ref="DH5:DH68" si="33">ROUND((DF5-DG5),2)</f>
        <v>-6534.44</v>
      </c>
    </row>
    <row r="6" spans="1:112" x14ac:dyDescent="0.3">
      <c r="A6" s="97" t="s">
        <v>18</v>
      </c>
      <c r="B6" s="115">
        <v>7</v>
      </c>
      <c r="C6" s="166">
        <v>24076.59</v>
      </c>
      <c r="D6" s="167">
        <v>23774.77</v>
      </c>
      <c r="E6" s="168">
        <v>23774.77</v>
      </c>
      <c r="F6" s="168">
        <v>23774.77</v>
      </c>
      <c r="G6" s="169">
        <f t="shared" si="2"/>
        <v>0</v>
      </c>
      <c r="H6" s="170">
        <v>28458.03</v>
      </c>
      <c r="I6" s="168">
        <v>26980.46</v>
      </c>
      <c r="J6" s="168">
        <v>26980.4646084942</v>
      </c>
      <c r="K6" s="168">
        <v>24040.46</v>
      </c>
      <c r="L6" s="171">
        <f t="shared" si="0"/>
        <v>2940</v>
      </c>
      <c r="M6" s="168">
        <v>22170</v>
      </c>
      <c r="N6" s="168">
        <v>22170</v>
      </c>
      <c r="O6" s="168">
        <v>22170</v>
      </c>
      <c r="P6" s="168">
        <v>29844.81</v>
      </c>
      <c r="Q6" s="171">
        <f t="shared" si="3"/>
        <v>-7674.81</v>
      </c>
      <c r="R6" s="168">
        <v>31910</v>
      </c>
      <c r="S6" s="168">
        <v>43384.951759999996</v>
      </c>
      <c r="T6" s="168">
        <v>43384.951759999996</v>
      </c>
      <c r="U6" s="168">
        <v>29712.55</v>
      </c>
      <c r="V6" s="171">
        <f t="shared" si="4"/>
        <v>13672.4</v>
      </c>
      <c r="W6" s="168">
        <v>27906</v>
      </c>
      <c r="X6" s="168">
        <v>27375.79</v>
      </c>
      <c r="Y6" s="168">
        <v>27375.79</v>
      </c>
      <c r="Z6" s="168">
        <v>58198.94</v>
      </c>
      <c r="AA6" s="171">
        <f t="shared" si="5"/>
        <v>-30823.15</v>
      </c>
      <c r="AB6" s="172">
        <f t="shared" si="6"/>
        <v>110444.03</v>
      </c>
      <c r="AC6" s="172">
        <f t="shared" si="6"/>
        <v>119911.20176</v>
      </c>
      <c r="AD6" s="172">
        <f t="shared" si="6"/>
        <v>119911.2063684942</v>
      </c>
      <c r="AE6" s="172">
        <f t="shared" si="6"/>
        <v>141796.76</v>
      </c>
      <c r="AF6" s="173">
        <f t="shared" si="7"/>
        <v>-21885.55</v>
      </c>
      <c r="AG6" s="170">
        <v>29161</v>
      </c>
      <c r="AH6" s="168">
        <v>20223.41</v>
      </c>
      <c r="AI6" s="168">
        <v>20223.41</v>
      </c>
      <c r="AJ6" s="168">
        <v>46027.399999999994</v>
      </c>
      <c r="AK6" s="171">
        <f t="shared" si="8"/>
        <v>-25803.99</v>
      </c>
      <c r="AL6" s="168">
        <v>46385</v>
      </c>
      <c r="AM6" s="168">
        <v>94262.73</v>
      </c>
      <c r="AN6" s="168">
        <v>94262.73000000001</v>
      </c>
      <c r="AO6" s="168">
        <v>47717.33</v>
      </c>
      <c r="AP6" s="171">
        <f t="shared" si="9"/>
        <v>46545.4</v>
      </c>
      <c r="AQ6" s="168">
        <v>48450</v>
      </c>
      <c r="AR6" s="168">
        <v>49594.15</v>
      </c>
      <c r="AS6" s="168">
        <v>49090.545409616418</v>
      </c>
      <c r="AT6" s="168">
        <v>54187.15</v>
      </c>
      <c r="AU6" s="171">
        <f t="shared" si="10"/>
        <v>-5096.6000000000004</v>
      </c>
      <c r="AV6" s="168">
        <v>53743</v>
      </c>
      <c r="AW6" s="168">
        <v>59539.6</v>
      </c>
      <c r="AX6" s="168">
        <v>57319.33</v>
      </c>
      <c r="AY6" s="171">
        <v>54942.36</v>
      </c>
      <c r="AZ6" s="171">
        <f t="shared" si="11"/>
        <v>2376.9699999999998</v>
      </c>
      <c r="BA6" s="172">
        <f t="shared" si="12"/>
        <v>177739</v>
      </c>
      <c r="BB6" s="172">
        <f t="shared" si="12"/>
        <v>223619.89</v>
      </c>
      <c r="BC6" s="172">
        <f t="shared" si="12"/>
        <v>220896.01540961646</v>
      </c>
      <c r="BD6" s="172">
        <f t="shared" si="12"/>
        <v>202874.23999999999</v>
      </c>
      <c r="BE6" s="173">
        <f t="shared" si="13"/>
        <v>18021.78</v>
      </c>
      <c r="BF6" s="170">
        <v>48934</v>
      </c>
      <c r="BG6" s="168">
        <v>45645.99</v>
      </c>
      <c r="BH6" s="168">
        <v>42150.634380046497</v>
      </c>
      <c r="BI6" s="174">
        <v>21253.89</v>
      </c>
      <c r="BJ6" s="168">
        <f t="shared" si="14"/>
        <v>20896.740000000002</v>
      </c>
      <c r="BK6" s="168">
        <v>31800</v>
      </c>
      <c r="BL6" s="168">
        <v>3046.7900000000009</v>
      </c>
      <c r="BM6" s="168">
        <v>2864.3423552461659</v>
      </c>
      <c r="BN6" s="171">
        <v>42984.22</v>
      </c>
      <c r="BO6" s="168">
        <f t="shared" si="15"/>
        <v>-40119.879999999997</v>
      </c>
      <c r="BP6" s="175">
        <v>38436</v>
      </c>
      <c r="BQ6" s="175">
        <v>52835.06</v>
      </c>
      <c r="BR6" s="248">
        <v>51041.15</v>
      </c>
      <c r="BS6" s="247">
        <v>51560.6</v>
      </c>
      <c r="BT6" s="175">
        <f t="shared" si="16"/>
        <v>-519.45000000000005</v>
      </c>
      <c r="BU6" s="175">
        <v>39086</v>
      </c>
      <c r="BV6" s="175">
        <v>77294.89</v>
      </c>
      <c r="BW6" s="248">
        <v>66609.740000000005</v>
      </c>
      <c r="BX6" s="247">
        <v>47392.35</v>
      </c>
      <c r="BY6" s="175">
        <f t="shared" si="17"/>
        <v>19217.39</v>
      </c>
      <c r="BZ6" s="176">
        <f t="shared" si="18"/>
        <v>158256</v>
      </c>
      <c r="CA6" s="176">
        <f t="shared" si="18"/>
        <v>178822.72999999998</v>
      </c>
      <c r="CB6" s="176">
        <f t="shared" si="18"/>
        <v>162665.86673529266</v>
      </c>
      <c r="CC6" s="176">
        <f t="shared" si="18"/>
        <v>163191.06</v>
      </c>
      <c r="CD6" s="177">
        <f t="shared" si="19"/>
        <v>-525.19000000000005</v>
      </c>
      <c r="CE6" s="170">
        <v>40860</v>
      </c>
      <c r="CF6" s="168">
        <v>15694.71</v>
      </c>
      <c r="CG6" s="168">
        <v>13679.49</v>
      </c>
      <c r="CH6" s="174">
        <v>40907.85</v>
      </c>
      <c r="CI6" s="168">
        <f t="shared" si="20"/>
        <v>-27228.36</v>
      </c>
      <c r="CJ6" s="168"/>
      <c r="CK6" s="168"/>
      <c r="CL6" s="168"/>
      <c r="CM6" s="171"/>
      <c r="CN6" s="168">
        <f t="shared" si="21"/>
        <v>0</v>
      </c>
      <c r="CO6" s="175"/>
      <c r="CP6" s="175"/>
      <c r="CQ6" s="248"/>
      <c r="CR6" s="247"/>
      <c r="CS6" s="175">
        <f t="shared" si="22"/>
        <v>0</v>
      </c>
      <c r="CT6" s="175"/>
      <c r="CU6" s="175"/>
      <c r="CV6" s="248"/>
      <c r="CW6" s="247"/>
      <c r="CX6" s="175">
        <f t="shared" si="23"/>
        <v>0</v>
      </c>
      <c r="CY6" s="176">
        <f t="shared" si="24"/>
        <v>40860</v>
      </c>
      <c r="CZ6" s="176">
        <f t="shared" si="25"/>
        <v>15694.71</v>
      </c>
      <c r="DA6" s="176">
        <f t="shared" si="26"/>
        <v>13679.49</v>
      </c>
      <c r="DB6" s="176">
        <f t="shared" si="27"/>
        <v>40907.85</v>
      </c>
      <c r="DC6" s="177">
        <f t="shared" si="28"/>
        <v>-27228.36</v>
      </c>
      <c r="DD6" s="178">
        <f t="shared" si="29"/>
        <v>511375.62</v>
      </c>
      <c r="DE6" s="176">
        <f t="shared" si="30"/>
        <v>561823.30175999994</v>
      </c>
      <c r="DF6" s="176">
        <f t="shared" si="31"/>
        <v>540927.34851340321</v>
      </c>
      <c r="DG6" s="176">
        <f t="shared" si="32"/>
        <v>572544.68000000005</v>
      </c>
      <c r="DH6" s="177">
        <f t="shared" si="33"/>
        <v>-31617.33</v>
      </c>
    </row>
    <row r="7" spans="1:112" x14ac:dyDescent="0.3">
      <c r="A7" s="97" t="s">
        <v>81</v>
      </c>
      <c r="B7" s="115">
        <v>3</v>
      </c>
      <c r="C7" s="166">
        <v>5650</v>
      </c>
      <c r="D7" s="167">
        <v>5579.17</v>
      </c>
      <c r="E7" s="168">
        <v>5579.17</v>
      </c>
      <c r="F7" s="168">
        <v>7607.41</v>
      </c>
      <c r="G7" s="169">
        <f t="shared" si="2"/>
        <v>-2028.24</v>
      </c>
      <c r="H7" s="170">
        <v>5086.67</v>
      </c>
      <c r="I7" s="168">
        <v>4822.57</v>
      </c>
      <c r="J7" s="168">
        <v>4822.5657190638003</v>
      </c>
      <c r="K7" s="168">
        <v>5619.38</v>
      </c>
      <c r="L7" s="171">
        <f t="shared" si="0"/>
        <v>-796.81</v>
      </c>
      <c r="M7" s="168">
        <v>8149.84</v>
      </c>
      <c r="N7" s="168">
        <v>8149.84</v>
      </c>
      <c r="O7" s="168">
        <v>8149.84</v>
      </c>
      <c r="P7" s="168">
        <v>6484.7899999999991</v>
      </c>
      <c r="Q7" s="171">
        <f t="shared" si="3"/>
        <v>1665.05</v>
      </c>
      <c r="R7" s="168">
        <v>7735.3600000000006</v>
      </c>
      <c r="S7" s="168">
        <v>9749.3145600000007</v>
      </c>
      <c r="T7" s="168">
        <v>9749.3145600000025</v>
      </c>
      <c r="U7" s="168">
        <v>7299.8600000000006</v>
      </c>
      <c r="V7" s="171">
        <f t="shared" si="4"/>
        <v>2449.4499999999998</v>
      </c>
      <c r="W7" s="168">
        <v>9010.25</v>
      </c>
      <c r="X7" s="168">
        <v>8839.06</v>
      </c>
      <c r="Y7" s="168">
        <v>8839.06</v>
      </c>
      <c r="Z7" s="168">
        <v>13967.36</v>
      </c>
      <c r="AA7" s="171">
        <f t="shared" si="5"/>
        <v>-5128.3</v>
      </c>
      <c r="AB7" s="172">
        <f t="shared" si="6"/>
        <v>29982.120000000003</v>
      </c>
      <c r="AC7" s="172">
        <f t="shared" si="6"/>
        <v>31560.78456</v>
      </c>
      <c r="AD7" s="172">
        <f t="shared" si="6"/>
        <v>31560.780279063802</v>
      </c>
      <c r="AE7" s="172">
        <f t="shared" si="6"/>
        <v>33371.39</v>
      </c>
      <c r="AF7" s="173">
        <f t="shared" si="7"/>
        <v>-1810.61</v>
      </c>
      <c r="AG7" s="170">
        <v>9465</v>
      </c>
      <c r="AH7" s="168">
        <v>8175.55</v>
      </c>
      <c r="AI7" s="168">
        <v>8175.55</v>
      </c>
      <c r="AJ7" s="168">
        <v>7054.8</v>
      </c>
      <c r="AK7" s="171">
        <f t="shared" si="8"/>
        <v>1120.75</v>
      </c>
      <c r="AL7" s="168">
        <v>14266</v>
      </c>
      <c r="AM7" s="168">
        <v>24196.38</v>
      </c>
      <c r="AN7" s="168">
        <v>24196.379999999997</v>
      </c>
      <c r="AO7" s="168">
        <v>5735.97</v>
      </c>
      <c r="AP7" s="171">
        <f t="shared" si="9"/>
        <v>18460.41</v>
      </c>
      <c r="AQ7" s="168">
        <v>6011</v>
      </c>
      <c r="AR7" s="168">
        <v>0</v>
      </c>
      <c r="AS7" s="168">
        <v>0</v>
      </c>
      <c r="AT7" s="168">
        <v>5005.3600000000006</v>
      </c>
      <c r="AU7" s="171">
        <f t="shared" si="10"/>
        <v>-5005.3599999999997</v>
      </c>
      <c r="AV7" s="168">
        <v>4284</v>
      </c>
      <c r="AW7" s="168">
        <v>0</v>
      </c>
      <c r="AX7" s="168">
        <v>0</v>
      </c>
      <c r="AY7" s="171">
        <v>5703.2</v>
      </c>
      <c r="AZ7" s="171">
        <f t="shared" si="11"/>
        <v>-5703.2</v>
      </c>
      <c r="BA7" s="172">
        <f t="shared" si="12"/>
        <v>34026</v>
      </c>
      <c r="BB7" s="172">
        <f t="shared" si="12"/>
        <v>32371.93</v>
      </c>
      <c r="BC7" s="172">
        <f t="shared" si="12"/>
        <v>32371.929999999997</v>
      </c>
      <c r="BD7" s="172">
        <f t="shared" si="12"/>
        <v>23499.33</v>
      </c>
      <c r="BE7" s="173">
        <f t="shared" si="13"/>
        <v>8872.6</v>
      </c>
      <c r="BF7" s="170">
        <v>3042</v>
      </c>
      <c r="BG7" s="168">
        <v>8047.36</v>
      </c>
      <c r="BH7" s="168">
        <v>7431.1309511440322</v>
      </c>
      <c r="BI7" s="174">
        <v>5152.8899999999994</v>
      </c>
      <c r="BJ7" s="168">
        <f t="shared" si="14"/>
        <v>2278.2399999999998</v>
      </c>
      <c r="BK7" s="168">
        <v>3336</v>
      </c>
      <c r="BL7" s="168">
        <v>4943.38</v>
      </c>
      <c r="BM7" s="168">
        <v>4647.3608985446281</v>
      </c>
      <c r="BN7" s="171">
        <v>6738.5399999999991</v>
      </c>
      <c r="BO7" s="168">
        <f t="shared" si="15"/>
        <v>-2091.1799999999998</v>
      </c>
      <c r="BP7" s="175">
        <v>5178</v>
      </c>
      <c r="BQ7" s="175">
        <v>2667.55</v>
      </c>
      <c r="BR7" s="248">
        <v>2576.98</v>
      </c>
      <c r="BS7" s="247">
        <v>4923.24</v>
      </c>
      <c r="BT7" s="175">
        <f t="shared" si="16"/>
        <v>-2346.2600000000002</v>
      </c>
      <c r="BU7" s="175">
        <v>8515</v>
      </c>
      <c r="BV7" s="175">
        <v>15147.2</v>
      </c>
      <c r="BW7" s="248">
        <v>13053.27</v>
      </c>
      <c r="BX7" s="247">
        <v>4986.47</v>
      </c>
      <c r="BY7" s="175">
        <f t="shared" si="17"/>
        <v>8066.8</v>
      </c>
      <c r="BZ7" s="176">
        <f t="shared" si="18"/>
        <v>20071</v>
      </c>
      <c r="CA7" s="176">
        <f t="shared" si="18"/>
        <v>30805.49</v>
      </c>
      <c r="CB7" s="176">
        <f t="shared" si="18"/>
        <v>27708.74184968866</v>
      </c>
      <c r="CC7" s="176">
        <f t="shared" si="18"/>
        <v>21801.14</v>
      </c>
      <c r="CD7" s="177">
        <f t="shared" si="19"/>
        <v>5907.6</v>
      </c>
      <c r="CE7" s="170">
        <v>6773</v>
      </c>
      <c r="CF7" s="168">
        <v>0</v>
      </c>
      <c r="CG7" s="168">
        <v>0</v>
      </c>
      <c r="CH7" s="174">
        <v>5152.8899999999994</v>
      </c>
      <c r="CI7" s="168">
        <f t="shared" si="20"/>
        <v>-5152.8900000000003</v>
      </c>
      <c r="CJ7" s="168"/>
      <c r="CK7" s="168"/>
      <c r="CL7" s="168"/>
      <c r="CM7" s="171"/>
      <c r="CN7" s="168">
        <f t="shared" si="21"/>
        <v>0</v>
      </c>
      <c r="CO7" s="175"/>
      <c r="CP7" s="175"/>
      <c r="CQ7" s="248"/>
      <c r="CR7" s="247"/>
      <c r="CS7" s="175">
        <f t="shared" si="22"/>
        <v>0</v>
      </c>
      <c r="CT7" s="175"/>
      <c r="CU7" s="175"/>
      <c r="CV7" s="248"/>
      <c r="CW7" s="247"/>
      <c r="CX7" s="175">
        <f t="shared" si="23"/>
        <v>0</v>
      </c>
      <c r="CY7" s="176">
        <f t="shared" si="24"/>
        <v>6773</v>
      </c>
      <c r="CZ7" s="176">
        <f t="shared" si="25"/>
        <v>0</v>
      </c>
      <c r="DA7" s="176">
        <f t="shared" si="26"/>
        <v>0</v>
      </c>
      <c r="DB7" s="176">
        <f t="shared" si="27"/>
        <v>5152.8899999999994</v>
      </c>
      <c r="DC7" s="177">
        <f t="shared" si="28"/>
        <v>-5152.8900000000003</v>
      </c>
      <c r="DD7" s="178">
        <f t="shared" si="29"/>
        <v>96502.12</v>
      </c>
      <c r="DE7" s="176">
        <f t="shared" si="30"/>
        <v>100317.37456000001</v>
      </c>
      <c r="DF7" s="176">
        <f t="shared" si="31"/>
        <v>97220.622128752468</v>
      </c>
      <c r="DG7" s="176">
        <f t="shared" si="32"/>
        <v>91432.16</v>
      </c>
      <c r="DH7" s="177">
        <f t="shared" si="33"/>
        <v>5788.46</v>
      </c>
    </row>
    <row r="8" spans="1:112" s="220" customFormat="1" x14ac:dyDescent="0.3">
      <c r="A8" s="220" t="s">
        <v>19</v>
      </c>
      <c r="B8" s="226">
        <v>10</v>
      </c>
      <c r="C8" s="227">
        <v>113655</v>
      </c>
      <c r="D8" s="228">
        <v>112230.24</v>
      </c>
      <c r="E8" s="229">
        <v>112230.24</v>
      </c>
      <c r="F8" s="229">
        <v>129979.73999999999</v>
      </c>
      <c r="G8" s="230">
        <f t="shared" si="2"/>
        <v>-17749.5</v>
      </c>
      <c r="H8" s="231">
        <v>113655</v>
      </c>
      <c r="I8" s="229">
        <v>107753.93</v>
      </c>
      <c r="J8" s="229">
        <v>107753.9346567</v>
      </c>
      <c r="K8" s="229">
        <v>109393.22</v>
      </c>
      <c r="L8" s="232">
        <f t="shared" si="0"/>
        <v>-1639.29</v>
      </c>
      <c r="M8" s="229">
        <v>113655</v>
      </c>
      <c r="N8" s="229">
        <v>113655</v>
      </c>
      <c r="O8" s="229">
        <v>113655</v>
      </c>
      <c r="P8" s="229">
        <v>113707</v>
      </c>
      <c r="Q8" s="232">
        <f t="shared" si="3"/>
        <v>-52</v>
      </c>
      <c r="R8" s="229">
        <v>113655</v>
      </c>
      <c r="S8" s="229">
        <v>145872.98584000001</v>
      </c>
      <c r="T8" s="229">
        <v>145872.98584000001</v>
      </c>
      <c r="U8" s="229">
        <v>132229.82</v>
      </c>
      <c r="V8" s="232">
        <f>ROUND((T8-U8),2)</f>
        <v>13643.17</v>
      </c>
      <c r="W8" s="229">
        <v>113655</v>
      </c>
      <c r="X8" s="229">
        <v>111495.55</v>
      </c>
      <c r="Y8" s="229">
        <v>111495.55</v>
      </c>
      <c r="Z8" s="229">
        <v>122086.28</v>
      </c>
      <c r="AA8" s="232">
        <f t="shared" si="5"/>
        <v>-10590.73</v>
      </c>
      <c r="AB8" s="232">
        <f t="shared" si="6"/>
        <v>454620</v>
      </c>
      <c r="AC8" s="232">
        <f t="shared" si="6"/>
        <v>478777.46584000002</v>
      </c>
      <c r="AD8" s="232">
        <f t="shared" si="6"/>
        <v>478777.47049669997</v>
      </c>
      <c r="AE8" s="232">
        <f t="shared" si="6"/>
        <v>477416.32000000007</v>
      </c>
      <c r="AF8" s="230">
        <f t="shared" si="7"/>
        <v>1361.15</v>
      </c>
      <c r="AG8" s="231">
        <v>113000</v>
      </c>
      <c r="AH8" s="229">
        <v>118797.62</v>
      </c>
      <c r="AI8" s="229">
        <v>118797.62</v>
      </c>
      <c r="AJ8" s="229">
        <v>120579.22</v>
      </c>
      <c r="AK8" s="232">
        <f t="shared" si="8"/>
        <v>-1781.6</v>
      </c>
      <c r="AL8" s="229">
        <v>115355</v>
      </c>
      <c r="AM8" s="229">
        <v>126295.73</v>
      </c>
      <c r="AN8" s="229">
        <v>126295.73</v>
      </c>
      <c r="AO8" s="229">
        <v>115636.53</v>
      </c>
      <c r="AP8" s="232">
        <f t="shared" si="9"/>
        <v>10659.2</v>
      </c>
      <c r="AQ8" s="229">
        <v>111355</v>
      </c>
      <c r="AR8" s="229">
        <v>118865.75</v>
      </c>
      <c r="AS8" s="229">
        <v>117658.72583809002</v>
      </c>
      <c r="AT8" s="229">
        <v>117662.37</v>
      </c>
      <c r="AU8" s="232">
        <f t="shared" si="10"/>
        <v>-3.64</v>
      </c>
      <c r="AV8" s="229">
        <v>111365</v>
      </c>
      <c r="AW8" s="229">
        <v>112111.8</v>
      </c>
      <c r="AX8" s="229">
        <v>107931.08</v>
      </c>
      <c r="AY8" s="232">
        <v>78032.289999999994</v>
      </c>
      <c r="AZ8" s="232">
        <f t="shared" si="11"/>
        <v>29898.79</v>
      </c>
      <c r="BA8" s="232">
        <f t="shared" si="12"/>
        <v>451075</v>
      </c>
      <c r="BB8" s="232">
        <f t="shared" si="12"/>
        <v>476070.89999999997</v>
      </c>
      <c r="BC8" s="232">
        <f t="shared" si="12"/>
        <v>470683.15583809</v>
      </c>
      <c r="BD8" s="232">
        <f t="shared" si="12"/>
        <v>431910.41</v>
      </c>
      <c r="BE8" s="230">
        <f t="shared" si="13"/>
        <v>38772.75</v>
      </c>
      <c r="BF8" s="231">
        <v>111355</v>
      </c>
      <c r="BG8" s="229">
        <v>97453.08</v>
      </c>
      <c r="BH8" s="229">
        <v>89990.580646611488</v>
      </c>
      <c r="BI8" s="233">
        <v>105145.98000000001</v>
      </c>
      <c r="BJ8" s="229">
        <f t="shared" si="14"/>
        <v>-15155.4</v>
      </c>
      <c r="BK8" s="229">
        <v>110355</v>
      </c>
      <c r="BL8" s="229">
        <v>106147.62</v>
      </c>
      <c r="BM8" s="229">
        <v>99791.296372436205</v>
      </c>
      <c r="BN8" s="232">
        <v>100549.57</v>
      </c>
      <c r="BO8" s="229">
        <f t="shared" si="15"/>
        <v>-758.27</v>
      </c>
      <c r="BP8" s="229">
        <v>110000</v>
      </c>
      <c r="BQ8" s="229">
        <v>128114.1</v>
      </c>
      <c r="BR8" s="248">
        <v>123764.24</v>
      </c>
      <c r="BS8" s="247">
        <v>107825.48999999999</v>
      </c>
      <c r="BT8" s="229">
        <f t="shared" si="16"/>
        <v>15938.75</v>
      </c>
      <c r="BU8" s="229">
        <v>111405</v>
      </c>
      <c r="BV8" s="229">
        <v>110831.99</v>
      </c>
      <c r="BW8" s="248">
        <v>95510.71</v>
      </c>
      <c r="BX8" s="247">
        <v>126266.95</v>
      </c>
      <c r="BY8" s="229">
        <f t="shared" si="17"/>
        <v>-30756.240000000002</v>
      </c>
      <c r="BZ8" s="229">
        <f t="shared" si="18"/>
        <v>443115</v>
      </c>
      <c r="CA8" s="229">
        <f t="shared" si="18"/>
        <v>442546.79000000004</v>
      </c>
      <c r="CB8" s="229">
        <f t="shared" si="18"/>
        <v>409056.82701904769</v>
      </c>
      <c r="CC8" s="229">
        <f t="shared" si="18"/>
        <v>439787.99000000005</v>
      </c>
      <c r="CD8" s="234">
        <f t="shared" si="19"/>
        <v>-30731.16</v>
      </c>
      <c r="CE8" s="170">
        <v>100000</v>
      </c>
      <c r="CF8" s="168">
        <v>90550.540000000008</v>
      </c>
      <c r="CG8" s="168">
        <v>78923.77</v>
      </c>
      <c r="CH8" s="174">
        <v>119852.16</v>
      </c>
      <c r="CI8" s="168">
        <f t="shared" si="20"/>
        <v>-40928.39</v>
      </c>
      <c r="CJ8" s="168"/>
      <c r="CK8" s="168"/>
      <c r="CL8" s="168"/>
      <c r="CM8" s="171"/>
      <c r="CN8" s="168">
        <f t="shared" si="21"/>
        <v>0</v>
      </c>
      <c r="CO8" s="175"/>
      <c r="CP8" s="175"/>
      <c r="CQ8" s="248"/>
      <c r="CR8" s="247"/>
      <c r="CS8" s="175">
        <f t="shared" si="22"/>
        <v>0</v>
      </c>
      <c r="CT8" s="175"/>
      <c r="CU8" s="175"/>
      <c r="CV8" s="248"/>
      <c r="CW8" s="247"/>
      <c r="CX8" s="175">
        <f t="shared" si="23"/>
        <v>0</v>
      </c>
      <c r="CY8" s="176">
        <f t="shared" si="24"/>
        <v>100000</v>
      </c>
      <c r="CZ8" s="176">
        <f t="shared" si="25"/>
        <v>90550.540000000008</v>
      </c>
      <c r="DA8" s="176">
        <f t="shared" si="26"/>
        <v>78923.77</v>
      </c>
      <c r="DB8" s="176">
        <f t="shared" si="27"/>
        <v>119852.16</v>
      </c>
      <c r="DC8" s="177">
        <f t="shared" si="28"/>
        <v>-40928.39</v>
      </c>
      <c r="DD8" s="178">
        <f t="shared" si="29"/>
        <v>1562465</v>
      </c>
      <c r="DE8" s="176">
        <f t="shared" si="30"/>
        <v>1600175.9358400002</v>
      </c>
      <c r="DF8" s="176">
        <f t="shared" si="31"/>
        <v>1549671.4633538376</v>
      </c>
      <c r="DG8" s="176">
        <f t="shared" si="32"/>
        <v>1598946.6199999999</v>
      </c>
      <c r="DH8" s="177">
        <f t="shared" si="33"/>
        <v>-49275.16</v>
      </c>
    </row>
    <row r="9" spans="1:112" x14ac:dyDescent="0.3">
      <c r="A9" s="97" t="s">
        <v>20</v>
      </c>
      <c r="B9" s="115">
        <v>12</v>
      </c>
      <c r="C9" s="166">
        <v>180897</v>
      </c>
      <c r="D9" s="167">
        <v>178629.31</v>
      </c>
      <c r="E9" s="168">
        <v>178629.31</v>
      </c>
      <c r="F9" s="168">
        <v>166024.39000000001</v>
      </c>
      <c r="G9" s="169">
        <f t="shared" si="2"/>
        <v>12604.92</v>
      </c>
      <c r="H9" s="170">
        <v>219400</v>
      </c>
      <c r="I9" s="168">
        <v>208008.56</v>
      </c>
      <c r="J9" s="168">
        <v>208008.56331599999</v>
      </c>
      <c r="K9" s="168">
        <v>158198.96</v>
      </c>
      <c r="L9" s="171">
        <f t="shared" si="0"/>
        <v>49809.599999999999</v>
      </c>
      <c r="M9" s="168">
        <v>178690</v>
      </c>
      <c r="N9" s="168">
        <v>169514.57</v>
      </c>
      <c r="O9" s="168">
        <v>169514.57</v>
      </c>
      <c r="P9" s="168">
        <v>171331.88</v>
      </c>
      <c r="Q9" s="171">
        <f t="shared" si="3"/>
        <v>-1817.31</v>
      </c>
      <c r="R9" s="168">
        <v>166770</v>
      </c>
      <c r="S9" s="168">
        <v>121011.73787999996</v>
      </c>
      <c r="T9" s="168">
        <v>121011.73787999996</v>
      </c>
      <c r="U9" s="168">
        <v>200365.07</v>
      </c>
      <c r="V9" s="171">
        <f t="shared" si="4"/>
        <v>-79353.33</v>
      </c>
      <c r="W9" s="168">
        <v>174220</v>
      </c>
      <c r="X9" s="168">
        <v>170909.82</v>
      </c>
      <c r="Y9" s="168">
        <v>170909.82</v>
      </c>
      <c r="Z9" s="168">
        <v>178283.94</v>
      </c>
      <c r="AA9" s="171">
        <f t="shared" si="5"/>
        <v>-7374.12</v>
      </c>
      <c r="AB9" s="172">
        <f t="shared" si="6"/>
        <v>739080</v>
      </c>
      <c r="AC9" s="172">
        <f t="shared" si="6"/>
        <v>669444.68787999998</v>
      </c>
      <c r="AD9" s="172">
        <f t="shared" si="6"/>
        <v>669444.69119599997</v>
      </c>
      <c r="AE9" s="172">
        <f t="shared" si="6"/>
        <v>708179.84999999986</v>
      </c>
      <c r="AF9" s="173">
        <f t="shared" si="7"/>
        <v>-38735.160000000003</v>
      </c>
      <c r="AG9" s="170">
        <v>197860</v>
      </c>
      <c r="AH9" s="168">
        <v>216616.12</v>
      </c>
      <c r="AI9" s="168">
        <v>216616.12</v>
      </c>
      <c r="AJ9" s="168">
        <v>204911.39</v>
      </c>
      <c r="AK9" s="171">
        <f t="shared" si="8"/>
        <v>11704.73</v>
      </c>
      <c r="AL9" s="168">
        <v>176520</v>
      </c>
      <c r="AM9" s="168">
        <v>191136.72</v>
      </c>
      <c r="AN9" s="168">
        <v>191136.72</v>
      </c>
      <c r="AO9" s="168">
        <v>202960.56</v>
      </c>
      <c r="AP9" s="171">
        <f t="shared" si="9"/>
        <v>-11823.84</v>
      </c>
      <c r="AQ9" s="168">
        <v>198060</v>
      </c>
      <c r="AR9" s="168">
        <v>224309.35</v>
      </c>
      <c r="AS9" s="168">
        <v>222031.59711329947</v>
      </c>
      <c r="AT9" s="168">
        <v>214294.99</v>
      </c>
      <c r="AU9" s="171">
        <f t="shared" si="10"/>
        <v>7736.61</v>
      </c>
      <c r="AV9" s="168">
        <v>198223</v>
      </c>
      <c r="AW9" s="168">
        <v>201239.82</v>
      </c>
      <c r="AX9" s="168">
        <v>193735.46000000002</v>
      </c>
      <c r="AY9" s="171">
        <v>221648.15000000002</v>
      </c>
      <c r="AZ9" s="171">
        <f t="shared" si="11"/>
        <v>-27912.69</v>
      </c>
      <c r="BA9" s="172">
        <f t="shared" si="12"/>
        <v>770663</v>
      </c>
      <c r="BB9" s="172">
        <f t="shared" si="12"/>
        <v>833302.01</v>
      </c>
      <c r="BC9" s="172">
        <f t="shared" si="12"/>
        <v>823519.89711329946</v>
      </c>
      <c r="BD9" s="172">
        <f t="shared" si="12"/>
        <v>843815.09</v>
      </c>
      <c r="BE9" s="173">
        <f t="shared" si="13"/>
        <v>-20295.189999999999</v>
      </c>
      <c r="BF9" s="170">
        <v>206500</v>
      </c>
      <c r="BG9" s="168">
        <v>244602.58000000002</v>
      </c>
      <c r="BH9" s="168">
        <v>225872.06275942476</v>
      </c>
      <c r="BI9" s="174">
        <v>234744.9</v>
      </c>
      <c r="BJ9" s="168">
        <f t="shared" si="14"/>
        <v>-8872.84</v>
      </c>
      <c r="BK9" s="168">
        <v>208500</v>
      </c>
      <c r="BL9" s="168">
        <v>185750.97</v>
      </c>
      <c r="BM9" s="168">
        <v>174627.84468212767</v>
      </c>
      <c r="BN9" s="171">
        <v>247621.26</v>
      </c>
      <c r="BO9" s="168">
        <f t="shared" si="15"/>
        <v>-72993.42</v>
      </c>
      <c r="BP9" s="175">
        <v>232620</v>
      </c>
      <c r="BQ9" s="175">
        <v>249720.58000000002</v>
      </c>
      <c r="BR9" s="248">
        <v>241241.82</v>
      </c>
      <c r="BS9" s="247">
        <v>232819.71</v>
      </c>
      <c r="BT9" s="175">
        <f t="shared" si="16"/>
        <v>8422.11</v>
      </c>
      <c r="BU9" s="175">
        <v>217210</v>
      </c>
      <c r="BV9" s="175">
        <v>265295.89</v>
      </c>
      <c r="BW9" s="248">
        <v>228621.72</v>
      </c>
      <c r="BX9" s="247">
        <v>218326.05</v>
      </c>
      <c r="BY9" s="175">
        <f t="shared" si="17"/>
        <v>10295.67</v>
      </c>
      <c r="BZ9" s="176">
        <f t="shared" si="18"/>
        <v>864830</v>
      </c>
      <c r="CA9" s="176">
        <f t="shared" si="18"/>
        <v>945370.02000000014</v>
      </c>
      <c r="CB9" s="176">
        <f t="shared" si="18"/>
        <v>870363.44744155242</v>
      </c>
      <c r="CC9" s="176">
        <f t="shared" si="18"/>
        <v>933511.91999999993</v>
      </c>
      <c r="CD9" s="177">
        <f t="shared" si="19"/>
        <v>-63148.47</v>
      </c>
      <c r="CE9" s="170">
        <v>270470</v>
      </c>
      <c r="CF9" s="168">
        <v>219133.82</v>
      </c>
      <c r="CG9" s="168">
        <v>190996.83</v>
      </c>
      <c r="CH9" s="174">
        <v>193905.5</v>
      </c>
      <c r="CI9" s="168">
        <f t="shared" si="20"/>
        <v>-2908.67</v>
      </c>
      <c r="CJ9" s="168"/>
      <c r="CK9" s="168"/>
      <c r="CL9" s="168"/>
      <c r="CM9" s="171"/>
      <c r="CN9" s="168">
        <f t="shared" si="21"/>
        <v>0</v>
      </c>
      <c r="CO9" s="175"/>
      <c r="CP9" s="175"/>
      <c r="CQ9" s="248"/>
      <c r="CR9" s="247"/>
      <c r="CS9" s="175">
        <f t="shared" si="22"/>
        <v>0</v>
      </c>
      <c r="CT9" s="175"/>
      <c r="CU9" s="175"/>
      <c r="CV9" s="248"/>
      <c r="CW9" s="247"/>
      <c r="CX9" s="175">
        <f t="shared" si="23"/>
        <v>0</v>
      </c>
      <c r="CY9" s="176">
        <f t="shared" si="24"/>
        <v>270470</v>
      </c>
      <c r="CZ9" s="176">
        <f t="shared" si="25"/>
        <v>219133.82</v>
      </c>
      <c r="DA9" s="176">
        <f t="shared" si="26"/>
        <v>190996.83</v>
      </c>
      <c r="DB9" s="176">
        <f t="shared" si="27"/>
        <v>193905.5</v>
      </c>
      <c r="DC9" s="177">
        <f t="shared" si="28"/>
        <v>-2908.67</v>
      </c>
      <c r="DD9" s="178">
        <f t="shared" si="29"/>
        <v>2825940</v>
      </c>
      <c r="DE9" s="176">
        <f t="shared" si="30"/>
        <v>2845879.8478799998</v>
      </c>
      <c r="DF9" s="176">
        <f t="shared" si="31"/>
        <v>2732954.1757508521</v>
      </c>
      <c r="DG9" s="176">
        <f t="shared" si="32"/>
        <v>2845436.75</v>
      </c>
      <c r="DH9" s="177">
        <f t="shared" si="33"/>
        <v>-112482.57</v>
      </c>
    </row>
    <row r="10" spans="1:112" x14ac:dyDescent="0.3">
      <c r="A10" s="97" t="s">
        <v>21</v>
      </c>
      <c r="B10" s="115">
        <v>1</v>
      </c>
      <c r="C10" s="166">
        <v>2530</v>
      </c>
      <c r="D10" s="167">
        <v>2498.2800000000002</v>
      </c>
      <c r="E10" s="168">
        <v>2498.2800000000002</v>
      </c>
      <c r="F10" s="168">
        <v>2755.44</v>
      </c>
      <c r="G10" s="217">
        <v>0</v>
      </c>
      <c r="H10" s="170">
        <v>2005</v>
      </c>
      <c r="I10" s="168">
        <v>1900.9</v>
      </c>
      <c r="J10" s="168">
        <v>1900.8986757</v>
      </c>
      <c r="K10" s="168">
        <v>2565.7800000000002</v>
      </c>
      <c r="L10" s="171">
        <f t="shared" si="0"/>
        <v>-664.88</v>
      </c>
      <c r="M10" s="168">
        <v>2350</v>
      </c>
      <c r="N10" s="168">
        <v>2350</v>
      </c>
      <c r="O10" s="168">
        <v>2350</v>
      </c>
      <c r="P10" s="168">
        <v>1727.07</v>
      </c>
      <c r="Q10" s="171">
        <f t="shared" si="3"/>
        <v>622.92999999999995</v>
      </c>
      <c r="R10" s="168">
        <v>2185</v>
      </c>
      <c r="S10" s="168">
        <v>2722.5845599999998</v>
      </c>
      <c r="T10" s="168">
        <v>2722.5845599999998</v>
      </c>
      <c r="U10" s="168">
        <v>1932.9299999999998</v>
      </c>
      <c r="V10" s="171">
        <f t="shared" si="4"/>
        <v>789.65</v>
      </c>
      <c r="W10" s="168">
        <v>2505</v>
      </c>
      <c r="X10" s="168">
        <v>2457.4</v>
      </c>
      <c r="Y10" s="168">
        <v>2457.4</v>
      </c>
      <c r="Z10" s="168">
        <v>2811.5</v>
      </c>
      <c r="AA10" s="171">
        <f t="shared" si="5"/>
        <v>-354.1</v>
      </c>
      <c r="AB10" s="172">
        <f t="shared" si="6"/>
        <v>9045</v>
      </c>
      <c r="AC10" s="172">
        <f t="shared" si="6"/>
        <v>9430.8845599999986</v>
      </c>
      <c r="AD10" s="172">
        <f t="shared" si="6"/>
        <v>9430.8832356999992</v>
      </c>
      <c r="AE10" s="172">
        <f t="shared" si="6"/>
        <v>9037.2800000000007</v>
      </c>
      <c r="AF10" s="173">
        <f t="shared" si="7"/>
        <v>393.6</v>
      </c>
      <c r="AG10" s="170">
        <v>2925</v>
      </c>
      <c r="AH10" s="168">
        <v>2434.46</v>
      </c>
      <c r="AI10" s="168">
        <v>2434.46</v>
      </c>
      <c r="AJ10" s="168">
        <v>2092.44</v>
      </c>
      <c r="AK10" s="171">
        <f t="shared" si="8"/>
        <v>342.02</v>
      </c>
      <c r="AL10" s="168">
        <v>2513</v>
      </c>
      <c r="AM10" s="168">
        <v>2895.03</v>
      </c>
      <c r="AN10" s="168">
        <v>2895.0299999999997</v>
      </c>
      <c r="AO10" s="168">
        <v>3850.74</v>
      </c>
      <c r="AP10" s="171">
        <f t="shared" si="9"/>
        <v>-955.71</v>
      </c>
      <c r="AQ10" s="168">
        <v>4035</v>
      </c>
      <c r="AR10" s="168">
        <v>4512.25</v>
      </c>
      <c r="AS10" s="168">
        <v>4466.4302851151124</v>
      </c>
      <c r="AT10" s="168">
        <v>1859.8</v>
      </c>
      <c r="AU10" s="171">
        <f t="shared" si="10"/>
        <v>2606.63</v>
      </c>
      <c r="AV10" s="168">
        <v>2971</v>
      </c>
      <c r="AW10" s="168">
        <v>1944.79</v>
      </c>
      <c r="AX10" s="168">
        <v>1872.27</v>
      </c>
      <c r="AY10" s="171">
        <v>2246.46</v>
      </c>
      <c r="AZ10" s="171">
        <f t="shared" si="11"/>
        <v>-374.19</v>
      </c>
      <c r="BA10" s="172">
        <f t="shared" si="12"/>
        <v>12444</v>
      </c>
      <c r="BB10" s="172">
        <f t="shared" si="12"/>
        <v>11786.529999999999</v>
      </c>
      <c r="BC10" s="172">
        <f t="shared" si="12"/>
        <v>11668.190285115114</v>
      </c>
      <c r="BD10" s="172">
        <f t="shared" si="12"/>
        <v>10049.44</v>
      </c>
      <c r="BE10" s="173">
        <f t="shared" si="13"/>
        <v>1618.75</v>
      </c>
      <c r="BF10" s="170">
        <v>2080</v>
      </c>
      <c r="BG10" s="168">
        <v>242.22000000000003</v>
      </c>
      <c r="BH10" s="168">
        <v>223.67192955032553</v>
      </c>
      <c r="BI10" s="174">
        <v>1317.49</v>
      </c>
      <c r="BJ10" s="168">
        <f t="shared" si="14"/>
        <v>-1093.82</v>
      </c>
      <c r="BK10" s="168">
        <v>2414</v>
      </c>
      <c r="BL10" s="168">
        <v>1291.5</v>
      </c>
      <c r="BM10" s="168">
        <v>1214.1624962010583</v>
      </c>
      <c r="BN10" s="171">
        <v>1885.72</v>
      </c>
      <c r="BO10" s="168">
        <f t="shared" si="15"/>
        <v>-671.56</v>
      </c>
      <c r="BP10" s="175">
        <v>2790</v>
      </c>
      <c r="BQ10" s="175">
        <v>2649.38</v>
      </c>
      <c r="BR10" s="248">
        <v>2559.4299999999998</v>
      </c>
      <c r="BS10" s="247">
        <v>1572.37</v>
      </c>
      <c r="BT10" s="175">
        <f t="shared" si="16"/>
        <v>987.06</v>
      </c>
      <c r="BU10" s="175">
        <v>3135</v>
      </c>
      <c r="BV10" s="175">
        <v>3297.49</v>
      </c>
      <c r="BW10" s="248">
        <v>2841.65</v>
      </c>
      <c r="BX10" s="247">
        <v>2914.99</v>
      </c>
      <c r="BY10" s="175">
        <f t="shared" si="17"/>
        <v>-73.34</v>
      </c>
      <c r="BZ10" s="176">
        <f t="shared" si="18"/>
        <v>10419</v>
      </c>
      <c r="CA10" s="176">
        <f t="shared" si="18"/>
        <v>7480.59</v>
      </c>
      <c r="CB10" s="176">
        <f t="shared" si="18"/>
        <v>6838.9144257513835</v>
      </c>
      <c r="CC10" s="176">
        <f t="shared" si="18"/>
        <v>7690.57</v>
      </c>
      <c r="CD10" s="177">
        <f t="shared" si="19"/>
        <v>-851.66</v>
      </c>
      <c r="CE10" s="170">
        <v>2285</v>
      </c>
      <c r="CF10" s="168">
        <v>1163.5</v>
      </c>
      <c r="CG10" s="168">
        <v>1014.11</v>
      </c>
      <c r="CH10" s="174">
        <v>2304.87</v>
      </c>
      <c r="CI10" s="168">
        <f t="shared" si="20"/>
        <v>-1290.76</v>
      </c>
      <c r="CJ10" s="168"/>
      <c r="CK10" s="168"/>
      <c r="CL10" s="168"/>
      <c r="CM10" s="171"/>
      <c r="CN10" s="168">
        <f t="shared" si="21"/>
        <v>0</v>
      </c>
      <c r="CO10" s="175"/>
      <c r="CP10" s="175"/>
      <c r="CQ10" s="248"/>
      <c r="CR10" s="247"/>
      <c r="CS10" s="175">
        <f t="shared" si="22"/>
        <v>0</v>
      </c>
      <c r="CT10" s="175"/>
      <c r="CU10" s="175"/>
      <c r="CV10" s="248"/>
      <c r="CW10" s="247"/>
      <c r="CX10" s="175">
        <f t="shared" si="23"/>
        <v>0</v>
      </c>
      <c r="CY10" s="176">
        <f t="shared" si="24"/>
        <v>2285</v>
      </c>
      <c r="CZ10" s="176">
        <f t="shared" si="25"/>
        <v>1163.5</v>
      </c>
      <c r="DA10" s="176">
        <f t="shared" si="26"/>
        <v>1014.11</v>
      </c>
      <c r="DB10" s="176">
        <f t="shared" si="27"/>
        <v>2304.87</v>
      </c>
      <c r="DC10" s="177">
        <f t="shared" si="28"/>
        <v>-1290.76</v>
      </c>
      <c r="DD10" s="178">
        <f t="shared" si="29"/>
        <v>36723</v>
      </c>
      <c r="DE10" s="176">
        <f t="shared" si="30"/>
        <v>32359.784559999996</v>
      </c>
      <c r="DF10" s="176">
        <f t="shared" si="31"/>
        <v>31450.377946566499</v>
      </c>
      <c r="DG10" s="176">
        <f t="shared" si="32"/>
        <v>31837.600000000002</v>
      </c>
      <c r="DH10" s="177">
        <f t="shared" si="33"/>
        <v>-387.22</v>
      </c>
    </row>
    <row r="11" spans="1:112" x14ac:dyDescent="0.3">
      <c r="A11" s="97" t="s">
        <v>22</v>
      </c>
      <c r="B11" s="115">
        <v>7</v>
      </c>
      <c r="C11" s="166">
        <v>43177</v>
      </c>
      <c r="D11" s="167">
        <v>42635.74</v>
      </c>
      <c r="E11" s="168">
        <v>42635.74</v>
      </c>
      <c r="F11" s="168">
        <v>47203.200000000004</v>
      </c>
      <c r="G11" s="169">
        <f t="shared" si="2"/>
        <v>-4567.46</v>
      </c>
      <c r="H11" s="170">
        <v>40276</v>
      </c>
      <c r="I11" s="168">
        <v>38184.839999999997</v>
      </c>
      <c r="J11" s="168">
        <v>38184.835442640004</v>
      </c>
      <c r="K11" s="168">
        <v>35728.519999999997</v>
      </c>
      <c r="L11" s="171">
        <f t="shared" si="0"/>
        <v>2456.3200000000002</v>
      </c>
      <c r="M11" s="168">
        <v>42663</v>
      </c>
      <c r="N11" s="168">
        <v>42663</v>
      </c>
      <c r="O11" s="168">
        <v>42663</v>
      </c>
      <c r="P11" s="168">
        <v>53954.84</v>
      </c>
      <c r="Q11" s="171">
        <f t="shared" si="3"/>
        <v>-11291.84</v>
      </c>
      <c r="R11" s="168">
        <v>46212</v>
      </c>
      <c r="S11" s="168">
        <v>65278.403100000018</v>
      </c>
      <c r="T11" s="168">
        <v>65278.403100000018</v>
      </c>
      <c r="U11" s="168">
        <v>27884.780000000002</v>
      </c>
      <c r="V11" s="171">
        <f t="shared" si="4"/>
        <v>37393.620000000003</v>
      </c>
      <c r="W11" s="168">
        <v>42962</v>
      </c>
      <c r="X11" s="168">
        <v>42145.72</v>
      </c>
      <c r="Y11" s="168">
        <v>42145.72</v>
      </c>
      <c r="Z11" s="168">
        <v>35026.28</v>
      </c>
      <c r="AA11" s="171">
        <f t="shared" si="5"/>
        <v>7119.44</v>
      </c>
      <c r="AB11" s="172">
        <f t="shared" si="6"/>
        <v>172113</v>
      </c>
      <c r="AC11" s="172">
        <f t="shared" si="6"/>
        <v>188271.96310000002</v>
      </c>
      <c r="AD11" s="172">
        <f t="shared" si="6"/>
        <v>188271.95854264003</v>
      </c>
      <c r="AE11" s="172">
        <f t="shared" si="6"/>
        <v>152594.41999999998</v>
      </c>
      <c r="AF11" s="173">
        <f t="shared" si="7"/>
        <v>35677.54</v>
      </c>
      <c r="AG11" s="170">
        <v>37814</v>
      </c>
      <c r="AH11" s="168">
        <v>13823.36</v>
      </c>
      <c r="AI11" s="168">
        <v>13823.36</v>
      </c>
      <c r="AJ11" s="168">
        <v>29440.309999999998</v>
      </c>
      <c r="AK11" s="171">
        <f t="shared" si="8"/>
        <v>-15616.95</v>
      </c>
      <c r="AL11" s="168">
        <v>34475</v>
      </c>
      <c r="AM11" s="168">
        <v>18590.89</v>
      </c>
      <c r="AN11" s="168">
        <v>18590.89</v>
      </c>
      <c r="AO11" s="168">
        <v>35012.04</v>
      </c>
      <c r="AP11" s="171">
        <f t="shared" si="9"/>
        <v>-16421.150000000001</v>
      </c>
      <c r="AQ11" s="168">
        <v>38292</v>
      </c>
      <c r="AR11" s="168">
        <v>39220.019999999997</v>
      </c>
      <c r="AS11" s="168">
        <v>38821.759678834373</v>
      </c>
      <c r="AT11" s="168">
        <v>33562.51</v>
      </c>
      <c r="AU11" s="171">
        <f t="shared" si="10"/>
        <v>5259.25</v>
      </c>
      <c r="AV11" s="168">
        <v>38262</v>
      </c>
      <c r="AW11" s="168">
        <v>38205.26</v>
      </c>
      <c r="AX11" s="168">
        <v>36780.560000000005</v>
      </c>
      <c r="AY11" s="171">
        <v>40580.46</v>
      </c>
      <c r="AZ11" s="171">
        <f t="shared" si="11"/>
        <v>-3799.9</v>
      </c>
      <c r="BA11" s="172">
        <f t="shared" si="12"/>
        <v>148843</v>
      </c>
      <c r="BB11" s="172">
        <f t="shared" si="12"/>
        <v>109839.53</v>
      </c>
      <c r="BC11" s="172">
        <f t="shared" si="12"/>
        <v>108016.56967883438</v>
      </c>
      <c r="BD11" s="172">
        <f t="shared" si="12"/>
        <v>138595.32</v>
      </c>
      <c r="BE11" s="173">
        <f t="shared" si="13"/>
        <v>-30578.75</v>
      </c>
      <c r="BF11" s="170">
        <v>31034</v>
      </c>
      <c r="BG11" s="168">
        <v>27199.96</v>
      </c>
      <c r="BH11" s="168">
        <v>25117.114758862488</v>
      </c>
      <c r="BI11" s="174">
        <v>37858.81</v>
      </c>
      <c r="BJ11" s="168">
        <f t="shared" si="14"/>
        <v>-12741.7</v>
      </c>
      <c r="BK11" s="168">
        <v>36290</v>
      </c>
      <c r="BL11" s="168">
        <v>49718.79</v>
      </c>
      <c r="BM11" s="168">
        <v>46741.533236156574</v>
      </c>
      <c r="BN11" s="171">
        <v>35273.179999999993</v>
      </c>
      <c r="BO11" s="168">
        <f t="shared" si="15"/>
        <v>11468.35</v>
      </c>
      <c r="BP11" s="175">
        <v>37907</v>
      </c>
      <c r="BQ11" s="175">
        <v>42059.45</v>
      </c>
      <c r="BR11" s="248">
        <v>40631.410000000003</v>
      </c>
      <c r="BS11" s="247">
        <v>40654.21</v>
      </c>
      <c r="BT11" s="175">
        <f t="shared" si="16"/>
        <v>-22.8</v>
      </c>
      <c r="BU11" s="175">
        <v>38510</v>
      </c>
      <c r="BV11" s="175">
        <v>29443.239999999998</v>
      </c>
      <c r="BW11" s="248">
        <v>25373.040000000001</v>
      </c>
      <c r="BX11" s="247">
        <v>37739.81</v>
      </c>
      <c r="BY11" s="175">
        <f t="shared" si="17"/>
        <v>-12366.77</v>
      </c>
      <c r="BZ11" s="176">
        <f t="shared" si="18"/>
        <v>143741</v>
      </c>
      <c r="CA11" s="176">
        <f t="shared" si="18"/>
        <v>148421.44</v>
      </c>
      <c r="CB11" s="176">
        <f t="shared" si="18"/>
        <v>137863.09799501908</v>
      </c>
      <c r="CC11" s="176">
        <f t="shared" si="18"/>
        <v>151526.00999999998</v>
      </c>
      <c r="CD11" s="177">
        <f t="shared" si="19"/>
        <v>-13662.91</v>
      </c>
      <c r="CE11" s="170">
        <v>36525</v>
      </c>
      <c r="CF11" s="168">
        <v>44482.66</v>
      </c>
      <c r="CG11" s="168">
        <v>38771.040000000001</v>
      </c>
      <c r="CH11" s="174">
        <v>38867.11</v>
      </c>
      <c r="CI11" s="168">
        <f t="shared" si="20"/>
        <v>-96.07</v>
      </c>
      <c r="CJ11" s="168"/>
      <c r="CK11" s="168"/>
      <c r="CL11" s="168"/>
      <c r="CM11" s="171"/>
      <c r="CN11" s="168">
        <f t="shared" si="21"/>
        <v>0</v>
      </c>
      <c r="CO11" s="175"/>
      <c r="CP11" s="175"/>
      <c r="CQ11" s="248"/>
      <c r="CR11" s="247"/>
      <c r="CS11" s="175">
        <f t="shared" si="22"/>
        <v>0</v>
      </c>
      <c r="CT11" s="175"/>
      <c r="CU11" s="175"/>
      <c r="CV11" s="248"/>
      <c r="CW11" s="247"/>
      <c r="CX11" s="175">
        <f t="shared" si="23"/>
        <v>0</v>
      </c>
      <c r="CY11" s="176">
        <f t="shared" si="24"/>
        <v>36525</v>
      </c>
      <c r="CZ11" s="176">
        <f t="shared" si="25"/>
        <v>44482.66</v>
      </c>
      <c r="DA11" s="176">
        <f t="shared" si="26"/>
        <v>38771.040000000001</v>
      </c>
      <c r="DB11" s="176">
        <f t="shared" si="27"/>
        <v>38867.11</v>
      </c>
      <c r="DC11" s="177">
        <f t="shared" si="28"/>
        <v>-96.07</v>
      </c>
      <c r="DD11" s="178">
        <f t="shared" si="29"/>
        <v>544399</v>
      </c>
      <c r="DE11" s="176">
        <f t="shared" si="30"/>
        <v>533651.33310000005</v>
      </c>
      <c r="DF11" s="176">
        <f t="shared" si="31"/>
        <v>515558.4062164934</v>
      </c>
      <c r="DG11" s="176">
        <f t="shared" si="32"/>
        <v>528786.05999999994</v>
      </c>
      <c r="DH11" s="177">
        <f t="shared" si="33"/>
        <v>-13227.65</v>
      </c>
    </row>
    <row r="12" spans="1:112" x14ac:dyDescent="0.3">
      <c r="A12" s="97" t="s">
        <v>23</v>
      </c>
      <c r="B12" s="115">
        <v>6</v>
      </c>
      <c r="C12" s="166">
        <v>21175</v>
      </c>
      <c r="D12" s="167">
        <v>20909.55</v>
      </c>
      <c r="E12" s="168">
        <v>20909.55</v>
      </c>
      <c r="F12" s="168">
        <v>20345.580000000002</v>
      </c>
      <c r="G12" s="169">
        <f t="shared" si="2"/>
        <v>563.97</v>
      </c>
      <c r="H12" s="170">
        <v>22342.35</v>
      </c>
      <c r="I12" s="168">
        <v>21182.32</v>
      </c>
      <c r="J12" s="168">
        <v>21182.315973579</v>
      </c>
      <c r="K12" s="168">
        <v>14786.84</v>
      </c>
      <c r="L12" s="171">
        <f t="shared" si="0"/>
        <v>6395.48</v>
      </c>
      <c r="M12" s="168">
        <v>19123.650000000001</v>
      </c>
      <c r="N12" s="168">
        <v>18559.68</v>
      </c>
      <c r="O12" s="168">
        <v>18559.68</v>
      </c>
      <c r="P12" s="168">
        <v>14806.11</v>
      </c>
      <c r="Q12" s="171">
        <f t="shared" si="3"/>
        <v>3753.57</v>
      </c>
      <c r="R12" s="168">
        <v>19135</v>
      </c>
      <c r="S12" s="168">
        <v>9213.6461200000031</v>
      </c>
      <c r="T12" s="168">
        <v>9213.6461200000031</v>
      </c>
      <c r="U12" s="168">
        <v>13726.74</v>
      </c>
      <c r="V12" s="171">
        <f t="shared" si="4"/>
        <v>-4513.09</v>
      </c>
      <c r="W12" s="168">
        <v>16170</v>
      </c>
      <c r="X12" s="168">
        <v>15862.77</v>
      </c>
      <c r="Y12" s="168">
        <v>15862.77</v>
      </c>
      <c r="Z12" s="168">
        <v>19817.919999999998</v>
      </c>
      <c r="AA12" s="171">
        <f t="shared" si="5"/>
        <v>-3955.15</v>
      </c>
      <c r="AB12" s="172">
        <f t="shared" si="6"/>
        <v>76771</v>
      </c>
      <c r="AC12" s="172">
        <f t="shared" si="6"/>
        <v>64818.416120000009</v>
      </c>
      <c r="AD12" s="172">
        <f t="shared" si="6"/>
        <v>64818.412093579012</v>
      </c>
      <c r="AE12" s="172">
        <f t="shared" si="6"/>
        <v>63137.61</v>
      </c>
      <c r="AF12" s="173">
        <f t="shared" si="7"/>
        <v>1680.8</v>
      </c>
      <c r="AG12" s="170">
        <v>13715</v>
      </c>
      <c r="AH12" s="168">
        <v>7515.07</v>
      </c>
      <c r="AI12" s="168">
        <v>7515.07</v>
      </c>
      <c r="AJ12" s="168">
        <v>17196.580000000002</v>
      </c>
      <c r="AK12" s="171">
        <f t="shared" si="8"/>
        <v>-9681.51</v>
      </c>
      <c r="AL12" s="168">
        <v>15200</v>
      </c>
      <c r="AM12" s="168">
        <v>19441.150000000001</v>
      </c>
      <c r="AN12" s="168">
        <v>19441.150000000001</v>
      </c>
      <c r="AO12" s="168">
        <v>18720.489999999998</v>
      </c>
      <c r="AP12" s="171">
        <f t="shared" si="9"/>
        <v>720.66</v>
      </c>
      <c r="AQ12" s="168">
        <v>16950</v>
      </c>
      <c r="AR12" s="168">
        <v>23666.07</v>
      </c>
      <c r="AS12" s="168">
        <v>23425.752513192801</v>
      </c>
      <c r="AT12" s="168">
        <v>19562.379999999997</v>
      </c>
      <c r="AU12" s="171">
        <f t="shared" si="10"/>
        <v>3863.37</v>
      </c>
      <c r="AV12" s="168">
        <v>19600</v>
      </c>
      <c r="AW12" s="168">
        <v>22090.92</v>
      </c>
      <c r="AX12" s="168">
        <v>21267.14</v>
      </c>
      <c r="AY12" s="171">
        <v>19019.300000000003</v>
      </c>
      <c r="AZ12" s="171">
        <f t="shared" si="11"/>
        <v>2247.84</v>
      </c>
      <c r="BA12" s="172">
        <f t="shared" si="12"/>
        <v>65465</v>
      </c>
      <c r="BB12" s="172">
        <f t="shared" si="12"/>
        <v>72713.209999999992</v>
      </c>
      <c r="BC12" s="172">
        <f t="shared" si="12"/>
        <v>71649.112513192798</v>
      </c>
      <c r="BD12" s="172">
        <f t="shared" si="12"/>
        <v>74498.75</v>
      </c>
      <c r="BE12" s="173">
        <f t="shared" si="13"/>
        <v>-2849.64</v>
      </c>
      <c r="BF12" s="170">
        <v>23980</v>
      </c>
      <c r="BG12" s="168">
        <v>21549.489999999998</v>
      </c>
      <c r="BH12" s="168">
        <v>19899.331224198842</v>
      </c>
      <c r="BI12" s="174">
        <v>18839.47</v>
      </c>
      <c r="BJ12" s="168">
        <f t="shared" si="14"/>
        <v>1059.8599999999999</v>
      </c>
      <c r="BK12" s="168">
        <v>19575</v>
      </c>
      <c r="BL12" s="168">
        <v>18977.32</v>
      </c>
      <c r="BM12" s="168">
        <v>17840.921581421808</v>
      </c>
      <c r="BN12" s="171">
        <v>21087.279999999999</v>
      </c>
      <c r="BO12" s="168">
        <f t="shared" si="15"/>
        <v>-3246.36</v>
      </c>
      <c r="BP12" s="175">
        <v>20625</v>
      </c>
      <c r="BQ12" s="175">
        <v>21499.22</v>
      </c>
      <c r="BR12" s="248">
        <v>20769.259999999998</v>
      </c>
      <c r="BS12" s="247">
        <v>18055.59</v>
      </c>
      <c r="BT12" s="175">
        <f t="shared" si="16"/>
        <v>2713.67</v>
      </c>
      <c r="BU12" s="175">
        <v>21375</v>
      </c>
      <c r="BV12" s="175">
        <v>23145.13</v>
      </c>
      <c r="BW12" s="248">
        <v>19945.580000000002</v>
      </c>
      <c r="BX12" s="247">
        <v>17134.259999999998</v>
      </c>
      <c r="BY12" s="175">
        <f t="shared" si="17"/>
        <v>2811.32</v>
      </c>
      <c r="BZ12" s="176">
        <f t="shared" si="18"/>
        <v>85555</v>
      </c>
      <c r="CA12" s="176">
        <f t="shared" si="18"/>
        <v>85171.16</v>
      </c>
      <c r="CB12" s="176">
        <f t="shared" si="18"/>
        <v>78455.092805620647</v>
      </c>
      <c r="CC12" s="176">
        <f t="shared" si="18"/>
        <v>75116.599999999991</v>
      </c>
      <c r="CD12" s="177">
        <f t="shared" si="19"/>
        <v>3338.49</v>
      </c>
      <c r="CE12" s="170">
        <v>18875</v>
      </c>
      <c r="CF12" s="168">
        <v>17587.740000000002</v>
      </c>
      <c r="CG12" s="168">
        <v>15329.46</v>
      </c>
      <c r="CH12" s="174">
        <v>17108.849999999999</v>
      </c>
      <c r="CI12" s="168">
        <f t="shared" si="20"/>
        <v>-1779.39</v>
      </c>
      <c r="CJ12" s="168"/>
      <c r="CK12" s="168"/>
      <c r="CL12" s="168"/>
      <c r="CM12" s="171"/>
      <c r="CN12" s="168">
        <f t="shared" si="21"/>
        <v>0</v>
      </c>
      <c r="CO12" s="175"/>
      <c r="CP12" s="175"/>
      <c r="CQ12" s="248"/>
      <c r="CR12" s="247"/>
      <c r="CS12" s="175">
        <f t="shared" si="22"/>
        <v>0</v>
      </c>
      <c r="CT12" s="175"/>
      <c r="CU12" s="175"/>
      <c r="CV12" s="248"/>
      <c r="CW12" s="247"/>
      <c r="CX12" s="175">
        <f t="shared" si="23"/>
        <v>0</v>
      </c>
      <c r="CY12" s="176">
        <f t="shared" si="24"/>
        <v>18875</v>
      </c>
      <c r="CZ12" s="176">
        <f t="shared" si="25"/>
        <v>17587.740000000002</v>
      </c>
      <c r="DA12" s="176">
        <f t="shared" si="26"/>
        <v>15329.46</v>
      </c>
      <c r="DB12" s="176">
        <f t="shared" si="27"/>
        <v>17108.849999999999</v>
      </c>
      <c r="DC12" s="177">
        <f t="shared" si="28"/>
        <v>-1779.39</v>
      </c>
      <c r="DD12" s="178">
        <f t="shared" si="29"/>
        <v>267841</v>
      </c>
      <c r="DE12" s="176">
        <f t="shared" si="30"/>
        <v>261200.07612000001</v>
      </c>
      <c r="DF12" s="176">
        <f t="shared" si="31"/>
        <v>251161.62741239244</v>
      </c>
      <c r="DG12" s="176">
        <f t="shared" si="32"/>
        <v>250207.38999999998</v>
      </c>
      <c r="DH12" s="177">
        <f t="shared" si="33"/>
        <v>954.24</v>
      </c>
    </row>
    <row r="13" spans="1:112" x14ac:dyDescent="0.3">
      <c r="A13" s="97" t="s">
        <v>24</v>
      </c>
      <c r="B13" s="115">
        <v>7</v>
      </c>
      <c r="C13" s="166">
        <v>15381.89</v>
      </c>
      <c r="D13" s="167">
        <v>15189.07</v>
      </c>
      <c r="E13" s="168">
        <v>15189.07</v>
      </c>
      <c r="F13" s="168">
        <v>15834.300000000001</v>
      </c>
      <c r="G13" s="169">
        <f t="shared" si="2"/>
        <v>-645.23</v>
      </c>
      <c r="H13" s="170">
        <v>17837.650000000001</v>
      </c>
      <c r="I13" s="168">
        <v>16911.5</v>
      </c>
      <c r="J13" s="168">
        <v>16911.503871621</v>
      </c>
      <c r="K13" s="168">
        <v>14037.37</v>
      </c>
      <c r="L13" s="171">
        <f t="shared" si="0"/>
        <v>2874.13</v>
      </c>
      <c r="M13" s="168">
        <v>17499.47</v>
      </c>
      <c r="N13" s="168">
        <v>17499.47</v>
      </c>
      <c r="O13" s="168">
        <v>17499.47</v>
      </c>
      <c r="P13" s="168">
        <v>13747.34</v>
      </c>
      <c r="Q13" s="171">
        <f t="shared" si="3"/>
        <v>3752.13</v>
      </c>
      <c r="R13" s="168">
        <v>20993.39</v>
      </c>
      <c r="S13" s="168">
        <v>16423.521839999998</v>
      </c>
      <c r="T13" s="168">
        <v>16423.521839999998</v>
      </c>
      <c r="U13" s="168">
        <v>16796.900000000001</v>
      </c>
      <c r="V13" s="171">
        <f t="shared" si="4"/>
        <v>-373.38</v>
      </c>
      <c r="W13" s="168">
        <v>15822.35</v>
      </c>
      <c r="X13" s="168">
        <v>15521.73</v>
      </c>
      <c r="Y13" s="168">
        <v>15521.73</v>
      </c>
      <c r="Z13" s="168">
        <v>14700.34</v>
      </c>
      <c r="AA13" s="171">
        <f t="shared" si="5"/>
        <v>821.39</v>
      </c>
      <c r="AB13" s="172">
        <f t="shared" si="6"/>
        <v>72152.86</v>
      </c>
      <c r="AC13" s="172">
        <f t="shared" si="6"/>
        <v>66356.221839999998</v>
      </c>
      <c r="AD13" s="172">
        <f t="shared" si="6"/>
        <v>66356.225711620995</v>
      </c>
      <c r="AE13" s="172">
        <f t="shared" si="6"/>
        <v>59281.95</v>
      </c>
      <c r="AF13" s="173">
        <f t="shared" si="7"/>
        <v>7074.28</v>
      </c>
      <c r="AG13" s="170">
        <v>14050</v>
      </c>
      <c r="AH13" s="168">
        <v>8442.35</v>
      </c>
      <c r="AI13" s="168">
        <v>8442.35</v>
      </c>
      <c r="AJ13" s="168">
        <v>12077.4</v>
      </c>
      <c r="AK13" s="171">
        <f t="shared" si="8"/>
        <v>-3635.05</v>
      </c>
      <c r="AL13" s="168">
        <v>16139</v>
      </c>
      <c r="AM13" s="168">
        <v>13258.12</v>
      </c>
      <c r="AN13" s="168">
        <v>13258.119999999999</v>
      </c>
      <c r="AO13" s="168">
        <v>12060.79</v>
      </c>
      <c r="AP13" s="171">
        <f t="shared" si="9"/>
        <v>1197.33</v>
      </c>
      <c r="AQ13" s="168">
        <v>20422</v>
      </c>
      <c r="AR13" s="168">
        <v>16430.68</v>
      </c>
      <c r="AS13" s="168">
        <v>16263.834396816485</v>
      </c>
      <c r="AT13" s="168">
        <v>18214.75</v>
      </c>
      <c r="AU13" s="171">
        <f t="shared" si="10"/>
        <v>-1950.92</v>
      </c>
      <c r="AV13" s="168">
        <v>14350</v>
      </c>
      <c r="AW13" s="168">
        <v>11093.96</v>
      </c>
      <c r="AX13" s="168">
        <v>10680.259999999998</v>
      </c>
      <c r="AY13" s="171">
        <v>14421.2</v>
      </c>
      <c r="AZ13" s="171">
        <f t="shared" si="11"/>
        <v>-3740.94</v>
      </c>
      <c r="BA13" s="172">
        <f t="shared" si="12"/>
        <v>64961</v>
      </c>
      <c r="BB13" s="172">
        <f t="shared" si="12"/>
        <v>49225.11</v>
      </c>
      <c r="BC13" s="172">
        <f t="shared" si="12"/>
        <v>48644.56439681648</v>
      </c>
      <c r="BD13" s="172">
        <f t="shared" si="12"/>
        <v>56774.14</v>
      </c>
      <c r="BE13" s="173">
        <f t="shared" si="13"/>
        <v>-8129.58</v>
      </c>
      <c r="BF13" s="170">
        <v>20296</v>
      </c>
      <c r="BG13" s="168">
        <v>27604.6</v>
      </c>
      <c r="BH13" s="168">
        <v>25490.769327326048</v>
      </c>
      <c r="BI13" s="174">
        <v>15332.36</v>
      </c>
      <c r="BJ13" s="168">
        <f t="shared" si="14"/>
        <v>10158.41</v>
      </c>
      <c r="BK13" s="168">
        <v>12650</v>
      </c>
      <c r="BL13" s="168">
        <v>7155.17</v>
      </c>
      <c r="BM13" s="168">
        <v>6726.704659653833</v>
      </c>
      <c r="BN13" s="171">
        <v>13387.68</v>
      </c>
      <c r="BO13" s="168">
        <f t="shared" si="15"/>
        <v>-6660.98</v>
      </c>
      <c r="BP13" s="175">
        <v>14162</v>
      </c>
      <c r="BQ13" s="175">
        <v>12463.75</v>
      </c>
      <c r="BR13" s="248">
        <v>12040.57</v>
      </c>
      <c r="BS13" s="247">
        <v>17065.91</v>
      </c>
      <c r="BT13" s="175">
        <f t="shared" si="16"/>
        <v>-5025.34</v>
      </c>
      <c r="BU13" s="175">
        <v>16613</v>
      </c>
      <c r="BV13" s="175">
        <v>29091.629999999997</v>
      </c>
      <c r="BW13" s="248">
        <v>25070.04</v>
      </c>
      <c r="BX13" s="247">
        <v>18181.54</v>
      </c>
      <c r="BY13" s="175">
        <f t="shared" si="17"/>
        <v>6888.5</v>
      </c>
      <c r="BZ13" s="176">
        <f t="shared" si="18"/>
        <v>63721</v>
      </c>
      <c r="CA13" s="176">
        <f t="shared" si="18"/>
        <v>76315.149999999994</v>
      </c>
      <c r="CB13" s="176">
        <f t="shared" si="18"/>
        <v>69328.08398697988</v>
      </c>
      <c r="CC13" s="176">
        <f t="shared" si="18"/>
        <v>63967.49</v>
      </c>
      <c r="CD13" s="177">
        <f t="shared" si="19"/>
        <v>5360.59</v>
      </c>
      <c r="CE13" s="170">
        <v>16463</v>
      </c>
      <c r="CF13" s="168">
        <v>15189.16</v>
      </c>
      <c r="CG13" s="168">
        <v>13238.86</v>
      </c>
      <c r="CH13" s="174">
        <v>21048.059999999998</v>
      </c>
      <c r="CI13" s="168">
        <f t="shared" si="20"/>
        <v>-7809.2</v>
      </c>
      <c r="CJ13" s="168"/>
      <c r="CK13" s="168"/>
      <c r="CL13" s="168"/>
      <c r="CM13" s="171"/>
      <c r="CN13" s="168">
        <f t="shared" si="21"/>
        <v>0</v>
      </c>
      <c r="CO13" s="175"/>
      <c r="CP13" s="175"/>
      <c r="CQ13" s="248"/>
      <c r="CR13" s="247"/>
      <c r="CS13" s="175">
        <f t="shared" si="22"/>
        <v>0</v>
      </c>
      <c r="CT13" s="175"/>
      <c r="CU13" s="175"/>
      <c r="CV13" s="248"/>
      <c r="CW13" s="247"/>
      <c r="CX13" s="175">
        <f t="shared" si="23"/>
        <v>0</v>
      </c>
      <c r="CY13" s="176">
        <f t="shared" si="24"/>
        <v>16463</v>
      </c>
      <c r="CZ13" s="176">
        <f t="shared" si="25"/>
        <v>15189.16</v>
      </c>
      <c r="DA13" s="176">
        <f t="shared" si="26"/>
        <v>13238.86</v>
      </c>
      <c r="DB13" s="176">
        <f t="shared" si="27"/>
        <v>21048.059999999998</v>
      </c>
      <c r="DC13" s="177">
        <f t="shared" si="28"/>
        <v>-7809.2</v>
      </c>
      <c r="DD13" s="178">
        <f t="shared" si="29"/>
        <v>232679.75</v>
      </c>
      <c r="DE13" s="176">
        <f t="shared" si="30"/>
        <v>222274.71183999997</v>
      </c>
      <c r="DF13" s="176">
        <f t="shared" si="31"/>
        <v>212756.80409541738</v>
      </c>
      <c r="DG13" s="176">
        <f t="shared" si="32"/>
        <v>216905.94</v>
      </c>
      <c r="DH13" s="177">
        <f t="shared" si="33"/>
        <v>-4149.1400000000003</v>
      </c>
    </row>
    <row r="14" spans="1:112" x14ac:dyDescent="0.3">
      <c r="A14" s="97" t="s">
        <v>25</v>
      </c>
      <c r="B14" s="115">
        <v>9</v>
      </c>
      <c r="C14" s="166">
        <v>50875.490000000005</v>
      </c>
      <c r="D14" s="167">
        <v>50237.73</v>
      </c>
      <c r="E14" s="168">
        <v>50237.73</v>
      </c>
      <c r="F14" s="168">
        <v>53913.990000000005</v>
      </c>
      <c r="G14" s="169">
        <f t="shared" si="2"/>
        <v>-3676.26</v>
      </c>
      <c r="H14" s="170">
        <v>72890.38</v>
      </c>
      <c r="I14" s="168">
        <v>69105.850000000006</v>
      </c>
      <c r="J14" s="168">
        <v>69105.848784673202</v>
      </c>
      <c r="K14" s="168">
        <v>57879.55</v>
      </c>
      <c r="L14" s="171">
        <f t="shared" si="0"/>
        <v>11226.3</v>
      </c>
      <c r="M14" s="168">
        <v>69609.62</v>
      </c>
      <c r="N14" s="168">
        <v>69609.62</v>
      </c>
      <c r="O14" s="168">
        <v>69609.62</v>
      </c>
      <c r="P14" s="168">
        <v>54304.880000000005</v>
      </c>
      <c r="Q14" s="171">
        <f t="shared" si="3"/>
        <v>15304.74</v>
      </c>
      <c r="R14" s="168">
        <v>72890.38</v>
      </c>
      <c r="S14" s="168">
        <v>54738.946400000008</v>
      </c>
      <c r="T14" s="168">
        <v>54738.946400000008</v>
      </c>
      <c r="U14" s="168">
        <v>56439.06</v>
      </c>
      <c r="V14" s="171">
        <f t="shared" si="4"/>
        <v>-1700.11</v>
      </c>
      <c r="W14" s="168">
        <v>69609.62</v>
      </c>
      <c r="X14" s="168">
        <v>68287.039999999994</v>
      </c>
      <c r="Y14" s="168">
        <v>68287.039999999994</v>
      </c>
      <c r="Z14" s="168">
        <v>51866.71</v>
      </c>
      <c r="AA14" s="171">
        <f t="shared" si="5"/>
        <v>16420.330000000002</v>
      </c>
      <c r="AB14" s="172">
        <f t="shared" si="6"/>
        <v>285000</v>
      </c>
      <c r="AC14" s="172">
        <f t="shared" si="6"/>
        <v>261741.45640000002</v>
      </c>
      <c r="AD14" s="172">
        <f t="shared" si="6"/>
        <v>261741.45518467319</v>
      </c>
      <c r="AE14" s="172">
        <f t="shared" si="6"/>
        <v>220490.19999999998</v>
      </c>
      <c r="AF14" s="173">
        <f t="shared" si="7"/>
        <v>41251.26</v>
      </c>
      <c r="AG14" s="170">
        <v>61570</v>
      </c>
      <c r="AH14" s="168">
        <v>40415.33</v>
      </c>
      <c r="AI14" s="168">
        <v>40415.33</v>
      </c>
      <c r="AJ14" s="168">
        <v>57965.15</v>
      </c>
      <c r="AK14" s="171">
        <f t="shared" si="8"/>
        <v>-17549.82</v>
      </c>
      <c r="AL14" s="168">
        <v>58158</v>
      </c>
      <c r="AM14" s="168">
        <v>32626.18</v>
      </c>
      <c r="AN14" s="168">
        <v>32626.18</v>
      </c>
      <c r="AO14" s="168">
        <v>60780.539999999994</v>
      </c>
      <c r="AP14" s="171">
        <f t="shared" si="9"/>
        <v>-28154.36</v>
      </c>
      <c r="AQ14" s="168">
        <v>61570</v>
      </c>
      <c r="AR14" s="168">
        <v>69699.179999999993</v>
      </c>
      <c r="AS14" s="168">
        <v>68991.418560516264</v>
      </c>
      <c r="AT14" s="168">
        <v>63568.57</v>
      </c>
      <c r="AU14" s="171">
        <f t="shared" si="10"/>
        <v>5422.85</v>
      </c>
      <c r="AV14" s="168">
        <v>58158</v>
      </c>
      <c r="AW14" s="168">
        <v>58865.53</v>
      </c>
      <c r="AX14" s="168">
        <v>56670.400000000001</v>
      </c>
      <c r="AY14" s="171">
        <v>59919.47</v>
      </c>
      <c r="AZ14" s="171">
        <f t="shared" si="11"/>
        <v>-3249.07</v>
      </c>
      <c r="BA14" s="172">
        <f t="shared" si="12"/>
        <v>239456</v>
      </c>
      <c r="BB14" s="172">
        <f t="shared" si="12"/>
        <v>201606.22</v>
      </c>
      <c r="BC14" s="172">
        <f t="shared" si="12"/>
        <v>198703.32856051627</v>
      </c>
      <c r="BD14" s="172">
        <f t="shared" si="12"/>
        <v>242233.73</v>
      </c>
      <c r="BE14" s="173">
        <f t="shared" si="13"/>
        <v>-43530.400000000001</v>
      </c>
      <c r="BF14" s="170">
        <v>61728</v>
      </c>
      <c r="BG14" s="168">
        <v>57792.98</v>
      </c>
      <c r="BH14" s="168">
        <v>53367.464912325042</v>
      </c>
      <c r="BI14" s="174">
        <v>51964.58</v>
      </c>
      <c r="BJ14" s="168">
        <f t="shared" si="14"/>
        <v>1402.88</v>
      </c>
      <c r="BK14" s="168">
        <v>58001</v>
      </c>
      <c r="BL14" s="168">
        <v>69610.070000000007</v>
      </c>
      <c r="BM14" s="168">
        <v>65441.685135060325</v>
      </c>
      <c r="BN14" s="171">
        <v>64337.25</v>
      </c>
      <c r="BO14" s="168">
        <f t="shared" si="15"/>
        <v>1104.44</v>
      </c>
      <c r="BP14" s="175">
        <v>61727</v>
      </c>
      <c r="BQ14" s="175">
        <v>52882.97</v>
      </c>
      <c r="BR14" s="248">
        <v>51087.43</v>
      </c>
      <c r="BS14" s="247">
        <v>70851.569999999992</v>
      </c>
      <c r="BT14" s="175">
        <f t="shared" si="16"/>
        <v>-19764.14</v>
      </c>
      <c r="BU14" s="175">
        <v>58001</v>
      </c>
      <c r="BV14" s="175">
        <v>67536.59</v>
      </c>
      <c r="BW14" s="248">
        <v>58200.42</v>
      </c>
      <c r="BX14" s="247">
        <v>74234.429999999993</v>
      </c>
      <c r="BY14" s="175">
        <f t="shared" si="17"/>
        <v>-16034.01</v>
      </c>
      <c r="BZ14" s="176">
        <f t="shared" si="18"/>
        <v>239457</v>
      </c>
      <c r="CA14" s="176">
        <f t="shared" si="18"/>
        <v>247822.61000000002</v>
      </c>
      <c r="CB14" s="176">
        <f t="shared" si="18"/>
        <v>228097.00004738534</v>
      </c>
      <c r="CC14" s="176">
        <f t="shared" si="18"/>
        <v>261387.83</v>
      </c>
      <c r="CD14" s="177">
        <f t="shared" si="19"/>
        <v>-33290.83</v>
      </c>
      <c r="CE14" s="170">
        <v>64598</v>
      </c>
      <c r="CF14" s="168">
        <v>84166.26</v>
      </c>
      <c r="CG14" s="168">
        <v>73359.23</v>
      </c>
      <c r="CH14" s="174">
        <v>69094.23</v>
      </c>
      <c r="CI14" s="168">
        <f t="shared" si="20"/>
        <v>4265</v>
      </c>
      <c r="CJ14" s="168"/>
      <c r="CK14" s="168"/>
      <c r="CL14" s="168"/>
      <c r="CM14" s="171"/>
      <c r="CN14" s="168">
        <f t="shared" si="21"/>
        <v>0</v>
      </c>
      <c r="CO14" s="175"/>
      <c r="CP14" s="175"/>
      <c r="CQ14" s="248"/>
      <c r="CR14" s="247"/>
      <c r="CS14" s="175">
        <f t="shared" si="22"/>
        <v>0</v>
      </c>
      <c r="CT14" s="175"/>
      <c r="CU14" s="175"/>
      <c r="CV14" s="248"/>
      <c r="CW14" s="247"/>
      <c r="CX14" s="175">
        <f t="shared" si="23"/>
        <v>0</v>
      </c>
      <c r="CY14" s="176">
        <f t="shared" si="24"/>
        <v>64598</v>
      </c>
      <c r="CZ14" s="176">
        <f t="shared" si="25"/>
        <v>84166.26</v>
      </c>
      <c r="DA14" s="176">
        <f t="shared" si="26"/>
        <v>73359.23</v>
      </c>
      <c r="DB14" s="176">
        <f t="shared" si="27"/>
        <v>69094.23</v>
      </c>
      <c r="DC14" s="177">
        <f t="shared" si="28"/>
        <v>4265</v>
      </c>
      <c r="DD14" s="178">
        <f t="shared" si="29"/>
        <v>879386.49</v>
      </c>
      <c r="DE14" s="176">
        <f t="shared" si="30"/>
        <v>845574.27639999997</v>
      </c>
      <c r="DF14" s="176">
        <f t="shared" si="31"/>
        <v>812138.74379257474</v>
      </c>
      <c r="DG14" s="176">
        <f t="shared" si="32"/>
        <v>847119.98</v>
      </c>
      <c r="DH14" s="177">
        <f t="shared" si="33"/>
        <v>-34981.24</v>
      </c>
    </row>
    <row r="15" spans="1:112" x14ac:dyDescent="0.3">
      <c r="A15" s="97" t="s">
        <v>26</v>
      </c>
      <c r="B15" s="115">
        <v>5</v>
      </c>
      <c r="C15" s="166">
        <v>12600</v>
      </c>
      <c r="D15" s="167">
        <v>12442.05</v>
      </c>
      <c r="E15" s="168">
        <v>12442.05</v>
      </c>
      <c r="F15" s="168">
        <v>12442.050000000001</v>
      </c>
      <c r="G15" s="169">
        <f t="shared" si="2"/>
        <v>0</v>
      </c>
      <c r="H15" s="170">
        <v>14250</v>
      </c>
      <c r="I15" s="168">
        <v>13510.13</v>
      </c>
      <c r="J15" s="168">
        <v>13510.127745</v>
      </c>
      <c r="K15" s="168">
        <v>14284.72</v>
      </c>
      <c r="L15" s="171">
        <f t="shared" si="0"/>
        <v>-774.59</v>
      </c>
      <c r="M15" s="168">
        <v>15350</v>
      </c>
      <c r="N15" s="168">
        <v>15350</v>
      </c>
      <c r="O15" s="168">
        <v>15350</v>
      </c>
      <c r="P15" s="168">
        <v>13794.66</v>
      </c>
      <c r="Q15" s="171">
        <f t="shared" si="3"/>
        <v>1555.34</v>
      </c>
      <c r="R15" s="168">
        <v>15350</v>
      </c>
      <c r="S15" s="168">
        <v>19187.301749999999</v>
      </c>
      <c r="T15" s="168">
        <v>19187.301749999999</v>
      </c>
      <c r="U15" s="168">
        <v>10921.11</v>
      </c>
      <c r="V15" s="171">
        <f t="shared" si="4"/>
        <v>8266.19</v>
      </c>
      <c r="W15" s="168">
        <v>13240</v>
      </c>
      <c r="X15" s="168">
        <v>12988.44</v>
      </c>
      <c r="Y15" s="168">
        <v>12988.44</v>
      </c>
      <c r="Z15" s="168">
        <v>16979.71</v>
      </c>
      <c r="AA15" s="171">
        <f t="shared" si="5"/>
        <v>-3991.27</v>
      </c>
      <c r="AB15" s="172">
        <f t="shared" si="6"/>
        <v>58190</v>
      </c>
      <c r="AC15" s="172">
        <f t="shared" si="6"/>
        <v>61035.871749999998</v>
      </c>
      <c r="AD15" s="172">
        <f t="shared" si="6"/>
        <v>61035.869494999999</v>
      </c>
      <c r="AE15" s="172">
        <f t="shared" si="6"/>
        <v>55980.2</v>
      </c>
      <c r="AF15" s="173">
        <f t="shared" si="7"/>
        <v>5055.67</v>
      </c>
      <c r="AG15" s="170">
        <v>13968</v>
      </c>
      <c r="AH15" s="168">
        <v>4921.0599999999995</v>
      </c>
      <c r="AI15" s="168">
        <v>4921.0599999999995</v>
      </c>
      <c r="AJ15" s="168">
        <v>14326.09</v>
      </c>
      <c r="AK15" s="171">
        <f t="shared" si="8"/>
        <v>-9405.0300000000007</v>
      </c>
      <c r="AL15" s="168">
        <v>14432</v>
      </c>
      <c r="AM15" s="168">
        <v>18423.27</v>
      </c>
      <c r="AN15" s="168">
        <v>18423.27</v>
      </c>
      <c r="AO15" s="168">
        <v>13387.85</v>
      </c>
      <c r="AP15" s="171">
        <f t="shared" si="9"/>
        <v>5035.42</v>
      </c>
      <c r="AQ15" s="168">
        <v>15352</v>
      </c>
      <c r="AR15" s="168">
        <v>14665.94</v>
      </c>
      <c r="AS15" s="168">
        <v>14517.014477407311</v>
      </c>
      <c r="AT15" s="168">
        <v>20315.689999999999</v>
      </c>
      <c r="AU15" s="171">
        <f t="shared" si="10"/>
        <v>-5798.68</v>
      </c>
      <c r="AV15" s="168">
        <v>15352</v>
      </c>
      <c r="AW15" s="168">
        <v>15842.61</v>
      </c>
      <c r="AX15" s="168">
        <v>15251.83</v>
      </c>
      <c r="AY15" s="171">
        <v>13797.300000000001</v>
      </c>
      <c r="AZ15" s="171">
        <f t="shared" si="11"/>
        <v>1454.53</v>
      </c>
      <c r="BA15" s="172">
        <f t="shared" si="12"/>
        <v>59104</v>
      </c>
      <c r="BB15" s="172">
        <f t="shared" si="12"/>
        <v>53852.880000000005</v>
      </c>
      <c r="BC15" s="172">
        <f t="shared" si="12"/>
        <v>53113.174477407316</v>
      </c>
      <c r="BD15" s="172">
        <f t="shared" si="12"/>
        <v>61826.930000000008</v>
      </c>
      <c r="BE15" s="173">
        <f t="shared" si="13"/>
        <v>-8713.76</v>
      </c>
      <c r="BF15" s="170">
        <v>15120</v>
      </c>
      <c r="BG15" s="168">
        <v>18458.84</v>
      </c>
      <c r="BH15" s="168">
        <v>17045.348691523122</v>
      </c>
      <c r="BI15" s="174">
        <v>12108.890000000001</v>
      </c>
      <c r="BJ15" s="168">
        <f t="shared" si="14"/>
        <v>4936.46</v>
      </c>
      <c r="BK15" s="168">
        <v>16620</v>
      </c>
      <c r="BL15" s="168">
        <v>10762.51</v>
      </c>
      <c r="BM15" s="168">
        <v>10118.030202856253</v>
      </c>
      <c r="BN15" s="171">
        <v>13147.400000000001</v>
      </c>
      <c r="BO15" s="168">
        <f t="shared" si="15"/>
        <v>-3029.37</v>
      </c>
      <c r="BP15" s="175">
        <v>14620</v>
      </c>
      <c r="BQ15" s="175">
        <v>13604.11</v>
      </c>
      <c r="BR15" s="248">
        <v>13142.21</v>
      </c>
      <c r="BS15" s="247">
        <v>12919.21</v>
      </c>
      <c r="BT15" s="175">
        <f t="shared" si="16"/>
        <v>223</v>
      </c>
      <c r="BU15" s="175">
        <v>15120</v>
      </c>
      <c r="BV15" s="175">
        <v>18229.03</v>
      </c>
      <c r="BW15" s="248">
        <v>15709.07</v>
      </c>
      <c r="BX15" s="247">
        <v>14661.86</v>
      </c>
      <c r="BY15" s="175">
        <f t="shared" si="17"/>
        <v>1047.21</v>
      </c>
      <c r="BZ15" s="176">
        <f t="shared" si="18"/>
        <v>61480</v>
      </c>
      <c r="CA15" s="176">
        <f t="shared" si="18"/>
        <v>61054.49</v>
      </c>
      <c r="CB15" s="176">
        <f t="shared" si="18"/>
        <v>56014.658894379376</v>
      </c>
      <c r="CC15" s="176">
        <f t="shared" si="18"/>
        <v>52837.36</v>
      </c>
      <c r="CD15" s="177">
        <f t="shared" si="19"/>
        <v>3177.3</v>
      </c>
      <c r="CE15" s="170">
        <v>16120</v>
      </c>
      <c r="CF15" s="168">
        <v>13519.89</v>
      </c>
      <c r="CG15" s="168">
        <v>11783.92</v>
      </c>
      <c r="CH15" s="174">
        <v>0</v>
      </c>
      <c r="CI15" s="168">
        <f t="shared" si="20"/>
        <v>11783.92</v>
      </c>
      <c r="CJ15" s="168"/>
      <c r="CK15" s="168"/>
      <c r="CL15" s="168"/>
      <c r="CM15" s="171"/>
      <c r="CN15" s="168">
        <f t="shared" si="21"/>
        <v>0</v>
      </c>
      <c r="CO15" s="175"/>
      <c r="CP15" s="175"/>
      <c r="CQ15" s="248"/>
      <c r="CR15" s="247"/>
      <c r="CS15" s="175">
        <f t="shared" si="22"/>
        <v>0</v>
      </c>
      <c r="CT15" s="175"/>
      <c r="CU15" s="175"/>
      <c r="CV15" s="248"/>
      <c r="CW15" s="247"/>
      <c r="CX15" s="175">
        <f t="shared" si="23"/>
        <v>0</v>
      </c>
      <c r="CY15" s="176">
        <f t="shared" si="24"/>
        <v>16120</v>
      </c>
      <c r="CZ15" s="176">
        <f t="shared" si="25"/>
        <v>13519.89</v>
      </c>
      <c r="DA15" s="176">
        <f t="shared" si="26"/>
        <v>11783.92</v>
      </c>
      <c r="DB15" s="176">
        <f t="shared" si="27"/>
        <v>0</v>
      </c>
      <c r="DC15" s="177">
        <f t="shared" si="28"/>
        <v>11783.92</v>
      </c>
      <c r="DD15" s="178">
        <f t="shared" si="29"/>
        <v>207494</v>
      </c>
      <c r="DE15" s="176">
        <f t="shared" si="30"/>
        <v>201905.18174999999</v>
      </c>
      <c r="DF15" s="176">
        <f t="shared" si="31"/>
        <v>194389.67286678668</v>
      </c>
      <c r="DG15" s="176">
        <f t="shared" si="32"/>
        <v>183086.54</v>
      </c>
      <c r="DH15" s="177">
        <f t="shared" si="33"/>
        <v>11303.13</v>
      </c>
    </row>
    <row r="16" spans="1:112" x14ac:dyDescent="0.3">
      <c r="A16" s="97" t="s">
        <v>193</v>
      </c>
      <c r="B16" s="115">
        <v>12</v>
      </c>
      <c r="C16" s="166">
        <v>9326.6</v>
      </c>
      <c r="D16" s="167">
        <v>9209.68</v>
      </c>
      <c r="E16" s="168">
        <v>9209.68</v>
      </c>
      <c r="F16" s="168">
        <v>5565.43</v>
      </c>
      <c r="G16" s="169">
        <f t="shared" si="2"/>
        <v>3644.25</v>
      </c>
      <c r="H16" s="170">
        <v>9326.6</v>
      </c>
      <c r="I16" s="168">
        <v>8842.35</v>
      </c>
      <c r="J16" s="168">
        <v>8842.3549071239995</v>
      </c>
      <c r="K16" s="168">
        <v>6432.35</v>
      </c>
      <c r="L16" s="171">
        <f t="shared" si="0"/>
        <v>2410</v>
      </c>
      <c r="M16" s="168">
        <v>10076.6</v>
      </c>
      <c r="N16" s="168">
        <v>6432.35</v>
      </c>
      <c r="O16" s="168">
        <v>6432.35</v>
      </c>
      <c r="P16" s="168">
        <v>6640.12</v>
      </c>
      <c r="Q16" s="171">
        <f t="shared" si="3"/>
        <v>-207.77</v>
      </c>
      <c r="R16" s="168">
        <v>5790</v>
      </c>
      <c r="S16" s="168">
        <v>0</v>
      </c>
      <c r="T16" s="168">
        <v>0</v>
      </c>
      <c r="U16" s="168">
        <v>5923.59</v>
      </c>
      <c r="V16" s="171">
        <f t="shared" si="4"/>
        <v>-5923.59</v>
      </c>
      <c r="W16" s="168">
        <v>6025</v>
      </c>
      <c r="X16" s="168">
        <v>5910.52</v>
      </c>
      <c r="Y16" s="168">
        <v>5910.52</v>
      </c>
      <c r="Z16" s="168">
        <v>8162.07</v>
      </c>
      <c r="AA16" s="171">
        <f t="shared" si="5"/>
        <v>-2251.5500000000002</v>
      </c>
      <c r="AB16" s="172">
        <f t="shared" si="6"/>
        <v>31218.2</v>
      </c>
      <c r="AC16" s="172">
        <f t="shared" si="6"/>
        <v>21185.22</v>
      </c>
      <c r="AD16" s="172">
        <f t="shared" si="6"/>
        <v>21185.224907124</v>
      </c>
      <c r="AE16" s="172">
        <f t="shared" si="6"/>
        <v>27158.13</v>
      </c>
      <c r="AF16" s="173">
        <f t="shared" si="7"/>
        <v>-5972.91</v>
      </c>
      <c r="AG16" s="170">
        <v>9200</v>
      </c>
      <c r="AH16" s="168">
        <v>9277.11</v>
      </c>
      <c r="AI16" s="168">
        <v>9277.11</v>
      </c>
      <c r="AJ16" s="168">
        <v>8953.34</v>
      </c>
      <c r="AK16" s="171">
        <f t="shared" si="8"/>
        <v>323.77</v>
      </c>
      <c r="AL16" s="168">
        <v>9690</v>
      </c>
      <c r="AM16" s="168">
        <v>9689.89</v>
      </c>
      <c r="AN16" s="168">
        <v>9689.89</v>
      </c>
      <c r="AO16" s="168">
        <v>9590.75</v>
      </c>
      <c r="AP16" s="171">
        <f t="shared" si="9"/>
        <v>99.14</v>
      </c>
      <c r="AQ16" s="168">
        <v>8150</v>
      </c>
      <c r="AR16" s="168">
        <v>10055.75</v>
      </c>
      <c r="AS16" s="168">
        <v>9953.6387255906247</v>
      </c>
      <c r="AT16" s="168">
        <v>7794.73</v>
      </c>
      <c r="AU16" s="171">
        <f t="shared" si="10"/>
        <v>2158.91</v>
      </c>
      <c r="AV16" s="168">
        <v>8650</v>
      </c>
      <c r="AW16" s="168">
        <v>8070.96</v>
      </c>
      <c r="AX16" s="168">
        <v>7769.99</v>
      </c>
      <c r="AY16" s="171">
        <v>7951.15</v>
      </c>
      <c r="AZ16" s="171">
        <f t="shared" si="11"/>
        <v>-181.16</v>
      </c>
      <c r="BA16" s="172">
        <f t="shared" si="12"/>
        <v>35690</v>
      </c>
      <c r="BB16" s="172">
        <f t="shared" si="12"/>
        <v>37093.71</v>
      </c>
      <c r="BC16" s="172">
        <f t="shared" si="12"/>
        <v>36690.628725590621</v>
      </c>
      <c r="BD16" s="172">
        <f t="shared" si="12"/>
        <v>34289.97</v>
      </c>
      <c r="BE16" s="173">
        <f t="shared" si="13"/>
        <v>2400.66</v>
      </c>
      <c r="BF16" s="170">
        <v>7795</v>
      </c>
      <c r="BG16" s="168">
        <v>4246.7</v>
      </c>
      <c r="BH16" s="168">
        <v>3921.5076509840942</v>
      </c>
      <c r="BI16" s="174">
        <v>7718.5999999999995</v>
      </c>
      <c r="BJ16" s="168">
        <f t="shared" si="14"/>
        <v>-3797.09</v>
      </c>
      <c r="BK16" s="168">
        <v>9114</v>
      </c>
      <c r="BL16" s="168">
        <v>12501.35</v>
      </c>
      <c r="BM16" s="168">
        <v>11752.745119537823</v>
      </c>
      <c r="BN16" s="171">
        <v>6379.75</v>
      </c>
      <c r="BO16" s="168">
        <f t="shared" si="15"/>
        <v>5373</v>
      </c>
      <c r="BP16" s="175">
        <v>6540</v>
      </c>
      <c r="BQ16" s="175">
        <v>4067.04</v>
      </c>
      <c r="BR16" s="248">
        <v>3928.95</v>
      </c>
      <c r="BS16" s="247">
        <v>9080.68</v>
      </c>
      <c r="BT16" s="175">
        <f t="shared" si="16"/>
        <v>-5151.7299999999996</v>
      </c>
      <c r="BU16" s="175">
        <v>12445</v>
      </c>
      <c r="BV16" s="175">
        <v>10150.950000000001</v>
      </c>
      <c r="BW16" s="248">
        <v>8747.7000000000007</v>
      </c>
      <c r="BX16" s="247">
        <v>11878.85</v>
      </c>
      <c r="BY16" s="175">
        <f t="shared" si="17"/>
        <v>-3131.15</v>
      </c>
      <c r="BZ16" s="176">
        <f t="shared" si="18"/>
        <v>35894</v>
      </c>
      <c r="CA16" s="176">
        <f t="shared" si="18"/>
        <v>30966.04</v>
      </c>
      <c r="CB16" s="176">
        <f t="shared" si="18"/>
        <v>28350.90277052192</v>
      </c>
      <c r="CC16" s="176">
        <f t="shared" si="18"/>
        <v>35057.879999999997</v>
      </c>
      <c r="CD16" s="177">
        <f t="shared" si="19"/>
        <v>-6706.98</v>
      </c>
      <c r="CE16" s="170">
        <v>10170</v>
      </c>
      <c r="CF16" s="168">
        <v>12547.630000000001</v>
      </c>
      <c r="CG16" s="168">
        <v>10936.5</v>
      </c>
      <c r="CH16" s="174">
        <v>8774.35</v>
      </c>
      <c r="CI16" s="168">
        <f t="shared" si="20"/>
        <v>2162.15</v>
      </c>
      <c r="CJ16" s="168"/>
      <c r="CK16" s="168"/>
      <c r="CL16" s="168"/>
      <c r="CM16" s="171"/>
      <c r="CN16" s="168">
        <f t="shared" si="21"/>
        <v>0</v>
      </c>
      <c r="CO16" s="175"/>
      <c r="CP16" s="175"/>
      <c r="CQ16" s="248"/>
      <c r="CR16" s="247"/>
      <c r="CS16" s="175">
        <f t="shared" si="22"/>
        <v>0</v>
      </c>
      <c r="CT16" s="175"/>
      <c r="CU16" s="175"/>
      <c r="CV16" s="248"/>
      <c r="CW16" s="247"/>
      <c r="CX16" s="175">
        <f t="shared" si="23"/>
        <v>0</v>
      </c>
      <c r="CY16" s="176">
        <f t="shared" si="24"/>
        <v>10170</v>
      </c>
      <c r="CZ16" s="176">
        <f t="shared" si="25"/>
        <v>12547.630000000001</v>
      </c>
      <c r="DA16" s="176">
        <f t="shared" si="26"/>
        <v>10936.5</v>
      </c>
      <c r="DB16" s="176">
        <f t="shared" si="27"/>
        <v>8774.35</v>
      </c>
      <c r="DC16" s="177">
        <f t="shared" si="28"/>
        <v>2162.15</v>
      </c>
      <c r="DD16" s="178">
        <f t="shared" si="29"/>
        <v>122298.8</v>
      </c>
      <c r="DE16" s="176">
        <f t="shared" si="30"/>
        <v>111002.28</v>
      </c>
      <c r="DF16" s="176">
        <f t="shared" si="31"/>
        <v>106372.93640323654</v>
      </c>
      <c r="DG16" s="176">
        <f t="shared" si="32"/>
        <v>110845.76000000001</v>
      </c>
      <c r="DH16" s="177">
        <f t="shared" si="33"/>
        <v>-4472.82</v>
      </c>
    </row>
    <row r="17" spans="1:112" x14ac:dyDescent="0.3">
      <c r="A17" s="97" t="s">
        <v>28</v>
      </c>
      <c r="B17" s="115">
        <v>3</v>
      </c>
      <c r="C17" s="166">
        <v>5050</v>
      </c>
      <c r="D17" s="167">
        <v>4986.6899999999996</v>
      </c>
      <c r="E17" s="168">
        <v>4986.6899999999996</v>
      </c>
      <c r="F17" s="168">
        <v>4986.6899999999996</v>
      </c>
      <c r="G17" s="169">
        <f t="shared" si="2"/>
        <v>0</v>
      </c>
      <c r="H17" s="170">
        <v>8880</v>
      </c>
      <c r="I17" s="168">
        <v>8418.94</v>
      </c>
      <c r="J17" s="168">
        <v>8418.9427632000006</v>
      </c>
      <c r="K17" s="168">
        <v>4347.16</v>
      </c>
      <c r="L17" s="171">
        <f t="shared" si="0"/>
        <v>4071.78</v>
      </c>
      <c r="M17" s="168">
        <v>8880</v>
      </c>
      <c r="N17" s="168">
        <v>8880</v>
      </c>
      <c r="O17" s="168">
        <v>8880</v>
      </c>
      <c r="P17" s="168">
        <v>3641.2400000000002</v>
      </c>
      <c r="Q17" s="171">
        <f t="shared" si="3"/>
        <v>5238.76</v>
      </c>
      <c r="R17" s="168">
        <v>8435</v>
      </c>
      <c r="S17" s="168">
        <v>0</v>
      </c>
      <c r="T17" s="168">
        <v>0</v>
      </c>
      <c r="U17" s="168">
        <v>4493.34</v>
      </c>
      <c r="V17" s="171">
        <f t="shared" si="4"/>
        <v>-4493.34</v>
      </c>
      <c r="W17" s="168">
        <v>2725</v>
      </c>
      <c r="X17" s="168">
        <v>2673.22</v>
      </c>
      <c r="Y17" s="168">
        <v>2673.22</v>
      </c>
      <c r="Z17" s="168">
        <v>0</v>
      </c>
      <c r="AA17" s="171">
        <f t="shared" si="5"/>
        <v>2673.22</v>
      </c>
      <c r="AB17" s="172">
        <f t="shared" si="6"/>
        <v>28920</v>
      </c>
      <c r="AC17" s="172">
        <f t="shared" si="6"/>
        <v>19972.160000000003</v>
      </c>
      <c r="AD17" s="172">
        <f t="shared" si="6"/>
        <v>19972.162763200002</v>
      </c>
      <c r="AE17" s="172">
        <f t="shared" si="6"/>
        <v>12481.74</v>
      </c>
      <c r="AF17" s="173">
        <f t="shared" si="7"/>
        <v>7490.42</v>
      </c>
      <c r="AG17" s="170">
        <v>3185</v>
      </c>
      <c r="AH17" s="168">
        <v>0</v>
      </c>
      <c r="AI17" s="168">
        <v>0</v>
      </c>
      <c r="AJ17" s="168">
        <v>0</v>
      </c>
      <c r="AK17" s="171">
        <f t="shared" si="8"/>
        <v>0</v>
      </c>
      <c r="AL17" s="168">
        <v>2215</v>
      </c>
      <c r="AM17" s="168">
        <v>0</v>
      </c>
      <c r="AN17" s="168">
        <v>0</v>
      </c>
      <c r="AO17" s="168">
        <v>0</v>
      </c>
      <c r="AP17" s="171">
        <f t="shared" si="9"/>
        <v>0</v>
      </c>
      <c r="AQ17" s="168">
        <v>2715</v>
      </c>
      <c r="AR17" s="168">
        <v>0</v>
      </c>
      <c r="AS17" s="168">
        <v>0</v>
      </c>
      <c r="AT17" s="168">
        <v>0</v>
      </c>
      <c r="AU17" s="171">
        <f t="shared" si="10"/>
        <v>0</v>
      </c>
      <c r="AV17" s="168">
        <v>0</v>
      </c>
      <c r="AW17" s="168">
        <v>0</v>
      </c>
      <c r="AX17" s="168">
        <v>0</v>
      </c>
      <c r="AY17" s="171">
        <v>0</v>
      </c>
      <c r="AZ17" s="171">
        <f t="shared" si="11"/>
        <v>0</v>
      </c>
      <c r="BA17" s="172">
        <f t="shared" si="12"/>
        <v>8115</v>
      </c>
      <c r="BB17" s="172">
        <f t="shared" si="12"/>
        <v>0</v>
      </c>
      <c r="BC17" s="172">
        <f t="shared" si="12"/>
        <v>0</v>
      </c>
      <c r="BD17" s="172">
        <f t="shared" si="12"/>
        <v>0</v>
      </c>
      <c r="BE17" s="173">
        <f t="shared" si="13"/>
        <v>0</v>
      </c>
      <c r="BF17" s="170">
        <v>4215</v>
      </c>
      <c r="BG17" s="168">
        <v>5215</v>
      </c>
      <c r="BH17" s="168">
        <v>4815.6597828624699</v>
      </c>
      <c r="BI17" s="174">
        <v>6239.78</v>
      </c>
      <c r="BJ17" s="168">
        <f t="shared" si="14"/>
        <v>-1424.12</v>
      </c>
      <c r="BK17" s="168">
        <v>3315</v>
      </c>
      <c r="BL17" s="168">
        <v>0</v>
      </c>
      <c r="BM17" s="168">
        <v>0</v>
      </c>
      <c r="BN17" s="171">
        <v>0</v>
      </c>
      <c r="BO17" s="168">
        <f t="shared" si="15"/>
        <v>0</v>
      </c>
      <c r="BP17" s="175">
        <v>4295</v>
      </c>
      <c r="BQ17" s="175">
        <v>5719.12</v>
      </c>
      <c r="BR17" s="248">
        <v>5524.94</v>
      </c>
      <c r="BS17" s="247">
        <v>4914.3999999999996</v>
      </c>
      <c r="BT17" s="175">
        <f t="shared" si="16"/>
        <v>610.54</v>
      </c>
      <c r="BU17" s="175">
        <v>2610</v>
      </c>
      <c r="BV17" s="175">
        <v>4592.72</v>
      </c>
      <c r="BW17" s="248">
        <v>3957.83</v>
      </c>
      <c r="BX17" s="247">
        <v>0</v>
      </c>
      <c r="BY17" s="175">
        <f t="shared" si="17"/>
        <v>3957.83</v>
      </c>
      <c r="BZ17" s="176">
        <f t="shared" si="18"/>
        <v>14435</v>
      </c>
      <c r="CA17" s="176">
        <f t="shared" si="18"/>
        <v>15526.84</v>
      </c>
      <c r="CB17" s="176">
        <f t="shared" si="18"/>
        <v>14298.429782862469</v>
      </c>
      <c r="CC17" s="176">
        <f t="shared" si="18"/>
        <v>11154.18</v>
      </c>
      <c r="CD17" s="177">
        <f t="shared" si="19"/>
        <v>3144.25</v>
      </c>
      <c r="CE17" s="170">
        <v>2610</v>
      </c>
      <c r="CF17" s="168">
        <v>0</v>
      </c>
      <c r="CG17" s="168">
        <v>0</v>
      </c>
      <c r="CH17" s="174">
        <v>0</v>
      </c>
      <c r="CI17" s="168">
        <f t="shared" si="20"/>
        <v>0</v>
      </c>
      <c r="CJ17" s="168"/>
      <c r="CK17" s="168"/>
      <c r="CL17" s="168"/>
      <c r="CM17" s="171"/>
      <c r="CN17" s="168">
        <f t="shared" si="21"/>
        <v>0</v>
      </c>
      <c r="CO17" s="175"/>
      <c r="CP17" s="175"/>
      <c r="CQ17" s="248"/>
      <c r="CR17" s="247"/>
      <c r="CS17" s="175">
        <f t="shared" si="22"/>
        <v>0</v>
      </c>
      <c r="CT17" s="175"/>
      <c r="CU17" s="175"/>
      <c r="CV17" s="248"/>
      <c r="CW17" s="247"/>
      <c r="CX17" s="175">
        <f t="shared" si="23"/>
        <v>0</v>
      </c>
      <c r="CY17" s="176">
        <f t="shared" si="24"/>
        <v>2610</v>
      </c>
      <c r="CZ17" s="176">
        <f t="shared" si="25"/>
        <v>0</v>
      </c>
      <c r="DA17" s="176">
        <f t="shared" si="26"/>
        <v>0</v>
      </c>
      <c r="DB17" s="176">
        <f t="shared" si="27"/>
        <v>0</v>
      </c>
      <c r="DC17" s="177">
        <f t="shared" si="28"/>
        <v>0</v>
      </c>
      <c r="DD17" s="178">
        <f t="shared" si="29"/>
        <v>59130</v>
      </c>
      <c r="DE17" s="176">
        <f t="shared" si="30"/>
        <v>40485.69</v>
      </c>
      <c r="DF17" s="176">
        <f t="shared" si="31"/>
        <v>39257.282546062474</v>
      </c>
      <c r="DG17" s="176">
        <f t="shared" si="32"/>
        <v>28622.61</v>
      </c>
      <c r="DH17" s="177">
        <f t="shared" si="33"/>
        <v>10634.67</v>
      </c>
    </row>
    <row r="18" spans="1:112" x14ac:dyDescent="0.3">
      <c r="A18" s="97" t="s">
        <v>29</v>
      </c>
      <c r="B18" s="115">
        <v>2</v>
      </c>
      <c r="C18" s="166">
        <v>128048.62</v>
      </c>
      <c r="D18" s="167">
        <v>126443.43</v>
      </c>
      <c r="E18" s="168">
        <v>126443.43</v>
      </c>
      <c r="F18" s="168">
        <v>114085.62</v>
      </c>
      <c r="G18" s="169">
        <f t="shared" si="2"/>
        <v>12357.81</v>
      </c>
      <c r="H18" s="170">
        <v>118619.95</v>
      </c>
      <c r="I18" s="168">
        <v>112461.1</v>
      </c>
      <c r="J18" s="168">
        <v>112461.100182843</v>
      </c>
      <c r="K18" s="168">
        <v>108227.16999999998</v>
      </c>
      <c r="L18" s="171">
        <f t="shared" si="0"/>
        <v>4233.93</v>
      </c>
      <c r="M18" s="168">
        <v>112256.73000000001</v>
      </c>
      <c r="N18" s="168">
        <v>99898.920000000013</v>
      </c>
      <c r="O18" s="168">
        <v>99898.920000000013</v>
      </c>
      <c r="P18" s="168">
        <v>93991.31</v>
      </c>
      <c r="Q18" s="171">
        <f t="shared" si="3"/>
        <v>5907.61</v>
      </c>
      <c r="R18" s="168">
        <v>114849.73000000001</v>
      </c>
      <c r="S18" s="168">
        <v>105456.44725999997</v>
      </c>
      <c r="T18" s="168">
        <v>105456.44725999997</v>
      </c>
      <c r="U18" s="168">
        <v>115131.15</v>
      </c>
      <c r="V18" s="171">
        <f t="shared" si="4"/>
        <v>-9674.7000000000007</v>
      </c>
      <c r="W18" s="168">
        <v>104554.09</v>
      </c>
      <c r="X18" s="168">
        <v>102567.56</v>
      </c>
      <c r="Y18" s="168">
        <v>102567.56</v>
      </c>
      <c r="Z18" s="168">
        <v>102518.61</v>
      </c>
      <c r="AA18" s="171">
        <f t="shared" si="5"/>
        <v>48.95</v>
      </c>
      <c r="AB18" s="172">
        <f t="shared" si="6"/>
        <v>450280.5</v>
      </c>
      <c r="AC18" s="172">
        <f t="shared" si="6"/>
        <v>420384.02726</v>
      </c>
      <c r="AD18" s="172">
        <f t="shared" si="6"/>
        <v>420384.02744284301</v>
      </c>
      <c r="AE18" s="172">
        <f t="shared" si="6"/>
        <v>419868.24</v>
      </c>
      <c r="AF18" s="173">
        <f t="shared" si="7"/>
        <v>515.79</v>
      </c>
      <c r="AG18" s="170">
        <v>107817</v>
      </c>
      <c r="AH18" s="168">
        <v>94992.35</v>
      </c>
      <c r="AI18" s="168">
        <v>94992.35</v>
      </c>
      <c r="AJ18" s="168">
        <v>103357.23</v>
      </c>
      <c r="AK18" s="171">
        <f t="shared" si="8"/>
        <v>-8364.8799999999992</v>
      </c>
      <c r="AL18" s="168">
        <v>124504</v>
      </c>
      <c r="AM18" s="168">
        <v>114211.69</v>
      </c>
      <c r="AN18" s="168">
        <v>114211.69</v>
      </c>
      <c r="AO18" s="168">
        <v>138071.75</v>
      </c>
      <c r="AP18" s="171">
        <f t="shared" si="9"/>
        <v>-23860.06</v>
      </c>
      <c r="AQ18" s="168">
        <v>132428</v>
      </c>
      <c r="AR18" s="168">
        <v>147737.21</v>
      </c>
      <c r="AS18" s="168">
        <v>146237.01013516786</v>
      </c>
      <c r="AT18" s="168">
        <v>115554.41999999998</v>
      </c>
      <c r="AU18" s="171">
        <f t="shared" si="10"/>
        <v>30682.59</v>
      </c>
      <c r="AV18" s="168">
        <v>109555</v>
      </c>
      <c r="AW18" s="168">
        <v>102460.86</v>
      </c>
      <c r="AX18" s="168">
        <v>98640.03</v>
      </c>
      <c r="AY18" s="171">
        <v>109257.19</v>
      </c>
      <c r="AZ18" s="171">
        <f t="shared" si="11"/>
        <v>-10617.16</v>
      </c>
      <c r="BA18" s="172">
        <f t="shared" si="12"/>
        <v>474304</v>
      </c>
      <c r="BB18" s="172">
        <f t="shared" si="12"/>
        <v>459402.11</v>
      </c>
      <c r="BC18" s="172">
        <f t="shared" si="12"/>
        <v>454081.08013516793</v>
      </c>
      <c r="BD18" s="172">
        <f t="shared" si="12"/>
        <v>466240.58999999997</v>
      </c>
      <c r="BE18" s="173">
        <f t="shared" si="13"/>
        <v>-12159.51</v>
      </c>
      <c r="BF18" s="170">
        <v>107263</v>
      </c>
      <c r="BG18" s="168">
        <v>80033.709999999992</v>
      </c>
      <c r="BH18" s="168">
        <v>73905.10422248856</v>
      </c>
      <c r="BI18" s="174">
        <v>117286.82999999999</v>
      </c>
      <c r="BJ18" s="168">
        <f t="shared" si="14"/>
        <v>-43381.73</v>
      </c>
      <c r="BK18" s="168">
        <v>110403</v>
      </c>
      <c r="BL18" s="168">
        <v>160920.06</v>
      </c>
      <c r="BM18" s="168">
        <v>151283.85732746733</v>
      </c>
      <c r="BN18" s="171">
        <v>118154.37</v>
      </c>
      <c r="BO18" s="168">
        <f t="shared" si="15"/>
        <v>33129.49</v>
      </c>
      <c r="BP18" s="175">
        <v>128644</v>
      </c>
      <c r="BQ18" s="175">
        <v>144510.9</v>
      </c>
      <c r="BR18" s="248">
        <v>139604.32</v>
      </c>
      <c r="BS18" s="247">
        <v>123534.13</v>
      </c>
      <c r="BT18" s="175">
        <f t="shared" si="16"/>
        <v>16070.19</v>
      </c>
      <c r="BU18" s="175">
        <v>110044</v>
      </c>
      <c r="BV18" s="175">
        <v>100102.08</v>
      </c>
      <c r="BW18" s="248">
        <v>86264.09</v>
      </c>
      <c r="BX18" s="247">
        <v>107065.19</v>
      </c>
      <c r="BY18" s="175">
        <f t="shared" si="17"/>
        <v>-20801.099999999999</v>
      </c>
      <c r="BZ18" s="176">
        <f t="shared" si="18"/>
        <v>456354</v>
      </c>
      <c r="CA18" s="176">
        <f t="shared" si="18"/>
        <v>485566.75</v>
      </c>
      <c r="CB18" s="176">
        <f t="shared" si="18"/>
        <v>451057.37154995592</v>
      </c>
      <c r="CC18" s="176">
        <f t="shared" si="18"/>
        <v>466040.51999999996</v>
      </c>
      <c r="CD18" s="177">
        <f t="shared" si="19"/>
        <v>-14983.15</v>
      </c>
      <c r="CE18" s="170">
        <v>113592</v>
      </c>
      <c r="CF18" s="168">
        <v>120402.75</v>
      </c>
      <c r="CG18" s="168">
        <v>104942.92</v>
      </c>
      <c r="CH18" s="174">
        <v>129174.36</v>
      </c>
      <c r="CI18" s="168">
        <f t="shared" si="20"/>
        <v>-24231.439999999999</v>
      </c>
      <c r="CJ18" s="168"/>
      <c r="CK18" s="168"/>
      <c r="CL18" s="168"/>
      <c r="CM18" s="171"/>
      <c r="CN18" s="168">
        <f t="shared" si="21"/>
        <v>0</v>
      </c>
      <c r="CO18" s="175"/>
      <c r="CP18" s="175"/>
      <c r="CQ18" s="248"/>
      <c r="CR18" s="247"/>
      <c r="CS18" s="175">
        <f t="shared" si="22"/>
        <v>0</v>
      </c>
      <c r="CT18" s="175"/>
      <c r="CU18" s="175"/>
      <c r="CV18" s="248"/>
      <c r="CW18" s="247"/>
      <c r="CX18" s="175">
        <f t="shared" si="23"/>
        <v>0</v>
      </c>
      <c r="CY18" s="176">
        <f t="shared" si="24"/>
        <v>113592</v>
      </c>
      <c r="CZ18" s="176">
        <f t="shared" si="25"/>
        <v>120402.75</v>
      </c>
      <c r="DA18" s="176">
        <f t="shared" si="26"/>
        <v>104942.92</v>
      </c>
      <c r="DB18" s="176">
        <f t="shared" si="27"/>
        <v>129174.36</v>
      </c>
      <c r="DC18" s="177">
        <f t="shared" si="28"/>
        <v>-24231.439999999999</v>
      </c>
      <c r="DD18" s="178">
        <f t="shared" si="29"/>
        <v>1622579.12</v>
      </c>
      <c r="DE18" s="176">
        <f t="shared" si="30"/>
        <v>1612199.0672599999</v>
      </c>
      <c r="DF18" s="176">
        <f t="shared" si="31"/>
        <v>1556908.8291279669</v>
      </c>
      <c r="DG18" s="176">
        <f t="shared" si="32"/>
        <v>1595409.33</v>
      </c>
      <c r="DH18" s="177">
        <f t="shared" si="33"/>
        <v>-38500.5</v>
      </c>
    </row>
    <row r="19" spans="1:112" x14ac:dyDescent="0.3">
      <c r="A19" s="97" t="s">
        <v>30</v>
      </c>
      <c r="B19" s="115">
        <v>11</v>
      </c>
      <c r="C19" s="166">
        <v>69947.86</v>
      </c>
      <c r="D19" s="167">
        <v>69071.009999999995</v>
      </c>
      <c r="E19" s="168">
        <v>69071.009999999995</v>
      </c>
      <c r="F19" s="168">
        <v>83848.44</v>
      </c>
      <c r="G19" s="169">
        <f t="shared" si="2"/>
        <v>-14777.43</v>
      </c>
      <c r="H19" s="170">
        <v>74073.45</v>
      </c>
      <c r="I19" s="168">
        <v>70227.490000000005</v>
      </c>
      <c r="J19" s="168">
        <v>70227.492772832993</v>
      </c>
      <c r="K19" s="168">
        <v>69802.87</v>
      </c>
      <c r="L19" s="171">
        <f t="shared" si="0"/>
        <v>424.62</v>
      </c>
      <c r="M19" s="168">
        <v>73282</v>
      </c>
      <c r="N19" s="168">
        <v>73282</v>
      </c>
      <c r="O19" s="168">
        <v>73282</v>
      </c>
      <c r="P19" s="168">
        <v>64799.08</v>
      </c>
      <c r="Q19" s="171">
        <f t="shared" si="3"/>
        <v>8482.92</v>
      </c>
      <c r="R19" s="168">
        <v>62546</v>
      </c>
      <c r="S19" s="168">
        <v>74915.399550000002</v>
      </c>
      <c r="T19" s="168">
        <v>74915.399550000002</v>
      </c>
      <c r="U19" s="168">
        <v>64395.91</v>
      </c>
      <c r="V19" s="171">
        <f t="shared" si="4"/>
        <v>10519.49</v>
      </c>
      <c r="W19" s="168">
        <v>76862</v>
      </c>
      <c r="X19" s="168">
        <v>75401.62</v>
      </c>
      <c r="Y19" s="168">
        <v>75401.62</v>
      </c>
      <c r="Z19" s="168">
        <v>73775.12</v>
      </c>
      <c r="AA19" s="171">
        <f t="shared" si="5"/>
        <v>1626.5</v>
      </c>
      <c r="AB19" s="172">
        <f t="shared" si="6"/>
        <v>286763.45</v>
      </c>
      <c r="AC19" s="172">
        <f t="shared" si="6"/>
        <v>293826.50954999996</v>
      </c>
      <c r="AD19" s="172">
        <f t="shared" si="6"/>
        <v>293826.51232283295</v>
      </c>
      <c r="AE19" s="172">
        <f t="shared" si="6"/>
        <v>272772.98</v>
      </c>
      <c r="AF19" s="173">
        <f t="shared" si="7"/>
        <v>21053.53</v>
      </c>
      <c r="AG19" s="170">
        <v>72733</v>
      </c>
      <c r="AH19" s="168">
        <v>68083.399999999994</v>
      </c>
      <c r="AI19" s="168">
        <v>68083.399999999994</v>
      </c>
      <c r="AJ19" s="168">
        <v>79073.66</v>
      </c>
      <c r="AK19" s="171">
        <f t="shared" si="8"/>
        <v>-10990.26</v>
      </c>
      <c r="AL19" s="168">
        <v>68152</v>
      </c>
      <c r="AM19" s="168">
        <v>64763.68</v>
      </c>
      <c r="AN19" s="168">
        <v>64763.68</v>
      </c>
      <c r="AO19" s="168">
        <v>70475.64</v>
      </c>
      <c r="AP19" s="171">
        <f t="shared" si="9"/>
        <v>-5711.96</v>
      </c>
      <c r="AQ19" s="168">
        <v>69521</v>
      </c>
      <c r="AR19" s="168">
        <v>79947.12</v>
      </c>
      <c r="AS19" s="168">
        <v>79135.295689674138</v>
      </c>
      <c r="AT19" s="168">
        <v>70915.670000000013</v>
      </c>
      <c r="AU19" s="171">
        <f t="shared" si="10"/>
        <v>8219.6299999999992</v>
      </c>
      <c r="AV19" s="168">
        <v>75764</v>
      </c>
      <c r="AW19" s="168">
        <v>73325.320000000007</v>
      </c>
      <c r="AX19" s="168">
        <v>70590.97</v>
      </c>
      <c r="AY19" s="171">
        <v>82421.7</v>
      </c>
      <c r="AZ19" s="171">
        <f t="shared" si="11"/>
        <v>-11830.73</v>
      </c>
      <c r="BA19" s="172">
        <f t="shared" si="12"/>
        <v>286170</v>
      </c>
      <c r="BB19" s="172">
        <f t="shared" si="12"/>
        <v>286119.52</v>
      </c>
      <c r="BC19" s="172">
        <f t="shared" si="12"/>
        <v>282573.34568967414</v>
      </c>
      <c r="BD19" s="172">
        <f t="shared" si="12"/>
        <v>302886.67</v>
      </c>
      <c r="BE19" s="173">
        <f t="shared" si="13"/>
        <v>-20313.32</v>
      </c>
      <c r="BF19" s="170">
        <v>73250</v>
      </c>
      <c r="BG19" s="168">
        <v>70257.52</v>
      </c>
      <c r="BH19" s="168">
        <v>64877.528956405687</v>
      </c>
      <c r="BI19" s="174">
        <v>69286.48000000001</v>
      </c>
      <c r="BJ19" s="168">
        <f t="shared" si="14"/>
        <v>-4408.95</v>
      </c>
      <c r="BK19" s="168">
        <v>74817</v>
      </c>
      <c r="BL19" s="168">
        <v>95020.2</v>
      </c>
      <c r="BM19" s="168">
        <v>89330.207682170963</v>
      </c>
      <c r="BN19" s="171">
        <v>68695.009999999995</v>
      </c>
      <c r="BO19" s="168">
        <f t="shared" si="15"/>
        <v>20635.2</v>
      </c>
      <c r="BP19" s="175">
        <v>75161</v>
      </c>
      <c r="BQ19" s="175">
        <v>72408.03</v>
      </c>
      <c r="BR19" s="248">
        <v>69949.56</v>
      </c>
      <c r="BS19" s="247">
        <v>82846.149999999994</v>
      </c>
      <c r="BT19" s="175">
        <f t="shared" si="16"/>
        <v>-12896.59</v>
      </c>
      <c r="BU19" s="175">
        <v>83352</v>
      </c>
      <c r="BV19" s="175">
        <v>75894.240000000005</v>
      </c>
      <c r="BW19" s="248">
        <v>65402.71</v>
      </c>
      <c r="BX19" s="247">
        <v>72326.14</v>
      </c>
      <c r="BY19" s="175">
        <f t="shared" si="17"/>
        <v>-6923.43</v>
      </c>
      <c r="BZ19" s="176">
        <f t="shared" si="18"/>
        <v>306580</v>
      </c>
      <c r="CA19" s="176">
        <f t="shared" si="18"/>
        <v>313579.99</v>
      </c>
      <c r="CB19" s="176">
        <f>SUM(BH19,BM19,BR19,BW19)</f>
        <v>289560.00663857668</v>
      </c>
      <c r="CC19" s="176">
        <f t="shared" si="18"/>
        <v>293153.77999999997</v>
      </c>
      <c r="CD19" s="177">
        <f t="shared" si="19"/>
        <v>-3593.77</v>
      </c>
      <c r="CE19" s="170">
        <v>76790</v>
      </c>
      <c r="CF19" s="168">
        <v>90342.22</v>
      </c>
      <c r="CG19" s="168">
        <v>78742.19</v>
      </c>
      <c r="CH19" s="174">
        <v>72123.05</v>
      </c>
      <c r="CI19" s="168">
        <f t="shared" si="20"/>
        <v>6619.14</v>
      </c>
      <c r="CJ19" s="168"/>
      <c r="CK19" s="168"/>
      <c r="CL19" s="168"/>
      <c r="CM19" s="171"/>
      <c r="CN19" s="168">
        <f t="shared" si="21"/>
        <v>0</v>
      </c>
      <c r="CO19" s="175"/>
      <c r="CP19" s="175"/>
      <c r="CQ19" s="248"/>
      <c r="CR19" s="247"/>
      <c r="CS19" s="175">
        <f t="shared" si="22"/>
        <v>0</v>
      </c>
      <c r="CT19" s="175"/>
      <c r="CU19" s="175"/>
      <c r="CV19" s="248"/>
      <c r="CW19" s="247"/>
      <c r="CX19" s="175">
        <f t="shared" si="23"/>
        <v>0</v>
      </c>
      <c r="CY19" s="176">
        <f t="shared" si="24"/>
        <v>76790</v>
      </c>
      <c r="CZ19" s="176">
        <f t="shared" si="25"/>
        <v>90342.22</v>
      </c>
      <c r="DA19" s="176">
        <f>SUM(CG19,CL19,CQ19,CV19)</f>
        <v>78742.19</v>
      </c>
      <c r="DB19" s="176">
        <f t="shared" si="27"/>
        <v>72123.05</v>
      </c>
      <c r="DC19" s="177">
        <f t="shared" si="28"/>
        <v>6619.14</v>
      </c>
      <c r="DD19" s="178">
        <f t="shared" si="29"/>
        <v>1026251.31</v>
      </c>
      <c r="DE19" s="176">
        <f t="shared" si="30"/>
        <v>1052939.2495500001</v>
      </c>
      <c r="DF19" s="176">
        <f t="shared" si="31"/>
        <v>1013773.0646510837</v>
      </c>
      <c r="DG19" s="176">
        <f t="shared" si="32"/>
        <v>1024784.9199999999</v>
      </c>
      <c r="DH19" s="177">
        <f t="shared" si="33"/>
        <v>-11011.86</v>
      </c>
    </row>
    <row r="20" spans="1:112" x14ac:dyDescent="0.3">
      <c r="A20" s="97" t="s">
        <v>31</v>
      </c>
      <c r="B20" s="115">
        <v>9</v>
      </c>
      <c r="C20" s="179">
        <v>17592</v>
      </c>
      <c r="D20" s="167">
        <v>13921.27</v>
      </c>
      <c r="E20" s="168">
        <v>13921.27</v>
      </c>
      <c r="F20" s="168">
        <v>13763.76</v>
      </c>
      <c r="G20" s="169">
        <f t="shared" si="2"/>
        <v>157.51</v>
      </c>
      <c r="H20" s="170">
        <v>15346</v>
      </c>
      <c r="I20" s="168">
        <v>14549.22</v>
      </c>
      <c r="J20" s="168">
        <v>14549.22248244</v>
      </c>
      <c r="K20" s="168">
        <v>12918.24</v>
      </c>
      <c r="L20" s="171">
        <f t="shared" si="0"/>
        <v>1630.98</v>
      </c>
      <c r="M20" s="168">
        <v>15346</v>
      </c>
      <c r="N20" s="168">
        <v>15188.49</v>
      </c>
      <c r="O20" s="168">
        <v>15188.49</v>
      </c>
      <c r="P20" s="168">
        <v>16041.27</v>
      </c>
      <c r="Q20" s="171">
        <f t="shared" si="3"/>
        <v>-852.78</v>
      </c>
      <c r="R20" s="168">
        <v>15346</v>
      </c>
      <c r="S20" s="168">
        <v>15764.857260000002</v>
      </c>
      <c r="T20" s="168">
        <v>15764.857260000002</v>
      </c>
      <c r="U20" s="168">
        <v>16570.54</v>
      </c>
      <c r="V20" s="171">
        <f t="shared" si="4"/>
        <v>-805.68</v>
      </c>
      <c r="W20" s="168">
        <v>15346</v>
      </c>
      <c r="X20" s="168">
        <v>15054.43</v>
      </c>
      <c r="Y20" s="168">
        <v>15054.43</v>
      </c>
      <c r="Z20" s="168">
        <v>16810.170000000002</v>
      </c>
      <c r="AA20" s="171">
        <f t="shared" si="5"/>
        <v>-1755.74</v>
      </c>
      <c r="AB20" s="172">
        <f t="shared" si="6"/>
        <v>61384</v>
      </c>
      <c r="AC20" s="172">
        <f t="shared" si="6"/>
        <v>60556.997260000004</v>
      </c>
      <c r="AD20" s="172">
        <f t="shared" si="6"/>
        <v>60556.999742440006</v>
      </c>
      <c r="AE20" s="172">
        <f t="shared" si="6"/>
        <v>62340.22</v>
      </c>
      <c r="AF20" s="173">
        <f t="shared" si="7"/>
        <v>-1783.22</v>
      </c>
      <c r="AG20" s="170">
        <v>15255</v>
      </c>
      <c r="AH20" s="168">
        <v>15124.97</v>
      </c>
      <c r="AI20" s="168">
        <v>15124.97</v>
      </c>
      <c r="AJ20" s="168">
        <v>13835.39</v>
      </c>
      <c r="AK20" s="171">
        <f t="shared" si="8"/>
        <v>1289.58</v>
      </c>
      <c r="AL20" s="168">
        <v>16500</v>
      </c>
      <c r="AM20" s="168">
        <v>17453.63</v>
      </c>
      <c r="AN20" s="168">
        <v>17453.63</v>
      </c>
      <c r="AO20" s="168">
        <v>13603.84</v>
      </c>
      <c r="AP20" s="171">
        <f t="shared" si="9"/>
        <v>3849.79</v>
      </c>
      <c r="AQ20" s="168">
        <v>15700</v>
      </c>
      <c r="AR20" s="168">
        <v>12186.34</v>
      </c>
      <c r="AS20" s="168">
        <v>12062.593615316018</v>
      </c>
      <c r="AT20" s="168">
        <v>17017.78</v>
      </c>
      <c r="AU20" s="171">
        <f t="shared" si="10"/>
        <v>-4955.1899999999996</v>
      </c>
      <c r="AV20" s="168">
        <v>18780</v>
      </c>
      <c r="AW20" s="168">
        <v>21981.97</v>
      </c>
      <c r="AX20" s="168">
        <v>21162.25</v>
      </c>
      <c r="AY20" s="171">
        <v>15023.86</v>
      </c>
      <c r="AZ20" s="171">
        <f t="shared" si="11"/>
        <v>6138.39</v>
      </c>
      <c r="BA20" s="172">
        <f t="shared" si="12"/>
        <v>66235</v>
      </c>
      <c r="BB20" s="172">
        <f t="shared" si="12"/>
        <v>66746.91</v>
      </c>
      <c r="BC20" s="172">
        <f t="shared" si="12"/>
        <v>65803.44361531602</v>
      </c>
      <c r="BD20" s="172">
        <f t="shared" si="12"/>
        <v>59480.869999999995</v>
      </c>
      <c r="BE20" s="173">
        <f t="shared" si="13"/>
        <v>6322.57</v>
      </c>
      <c r="BF20" s="170">
        <v>16450</v>
      </c>
      <c r="BG20" s="168">
        <v>21405.19</v>
      </c>
      <c r="BH20" s="168">
        <v>19766.081040753579</v>
      </c>
      <c r="BI20" s="174">
        <v>15537.199999999999</v>
      </c>
      <c r="BJ20" s="168">
        <f t="shared" si="14"/>
        <v>4228.88</v>
      </c>
      <c r="BK20" s="168">
        <v>16000</v>
      </c>
      <c r="BL20" s="168">
        <v>5141.4799999999996</v>
      </c>
      <c r="BM20" s="168">
        <v>4833.5982895608331</v>
      </c>
      <c r="BN20" s="171">
        <v>15512.74</v>
      </c>
      <c r="BO20" s="168">
        <f t="shared" si="15"/>
        <v>-10679.14</v>
      </c>
      <c r="BP20" s="175">
        <v>15750</v>
      </c>
      <c r="BQ20" s="175">
        <v>15603.17</v>
      </c>
      <c r="BR20" s="248">
        <v>15073.4</v>
      </c>
      <c r="BS20" s="247">
        <v>15901.68</v>
      </c>
      <c r="BT20" s="175">
        <f t="shared" si="16"/>
        <v>-828.28</v>
      </c>
      <c r="BU20" s="175">
        <v>15600</v>
      </c>
      <c r="BV20" s="175">
        <v>26951.940000000002</v>
      </c>
      <c r="BW20" s="248">
        <v>23226.14</v>
      </c>
      <c r="BX20" s="247">
        <v>21357.9</v>
      </c>
      <c r="BY20" s="175">
        <f t="shared" si="17"/>
        <v>1868.24</v>
      </c>
      <c r="BZ20" s="176">
        <f t="shared" si="18"/>
        <v>63800</v>
      </c>
      <c r="CA20" s="176">
        <f t="shared" si="18"/>
        <v>69101.78</v>
      </c>
      <c r="CB20" s="176">
        <f t="shared" si="18"/>
        <v>62899.219330314409</v>
      </c>
      <c r="CC20" s="176">
        <f t="shared" si="18"/>
        <v>68309.51999999999</v>
      </c>
      <c r="CD20" s="177">
        <f t="shared" si="19"/>
        <v>-5410.3</v>
      </c>
      <c r="CE20" s="170">
        <v>16100</v>
      </c>
      <c r="CF20" s="168">
        <v>9886.18</v>
      </c>
      <c r="CG20" s="168">
        <v>8616.7900000000009</v>
      </c>
      <c r="CH20" s="174">
        <v>14734.02</v>
      </c>
      <c r="CI20" s="168">
        <f t="shared" si="20"/>
        <v>-6117.23</v>
      </c>
      <c r="CJ20" s="168"/>
      <c r="CK20" s="168"/>
      <c r="CL20" s="168"/>
      <c r="CM20" s="171"/>
      <c r="CN20" s="168">
        <f t="shared" si="21"/>
        <v>0</v>
      </c>
      <c r="CO20" s="175"/>
      <c r="CP20" s="175"/>
      <c r="CQ20" s="248"/>
      <c r="CR20" s="247"/>
      <c r="CS20" s="175">
        <f t="shared" si="22"/>
        <v>0</v>
      </c>
      <c r="CT20" s="175"/>
      <c r="CU20" s="175"/>
      <c r="CV20" s="248"/>
      <c r="CW20" s="247"/>
      <c r="CX20" s="175">
        <f t="shared" si="23"/>
        <v>0</v>
      </c>
      <c r="CY20" s="176">
        <f t="shared" si="24"/>
        <v>16100</v>
      </c>
      <c r="CZ20" s="176">
        <f t="shared" si="25"/>
        <v>9886.18</v>
      </c>
      <c r="DA20" s="176">
        <f t="shared" ref="DA20:DA70" si="34">SUM(CG20,CL20,CQ20,CV20)</f>
        <v>8616.7900000000009</v>
      </c>
      <c r="DB20" s="176">
        <f t="shared" si="27"/>
        <v>14734.02</v>
      </c>
      <c r="DC20" s="177">
        <f t="shared" si="28"/>
        <v>-6117.23</v>
      </c>
      <c r="DD20" s="178">
        <f t="shared" si="29"/>
        <v>225111</v>
      </c>
      <c r="DE20" s="176">
        <f t="shared" si="30"/>
        <v>220213.13726000002</v>
      </c>
      <c r="DF20" s="176">
        <f t="shared" si="31"/>
        <v>211797.72268807044</v>
      </c>
      <c r="DG20" s="176">
        <f t="shared" si="32"/>
        <v>218628.38999999996</v>
      </c>
      <c r="DH20" s="177">
        <f t="shared" si="33"/>
        <v>-6830.67</v>
      </c>
    </row>
    <row r="21" spans="1:112" x14ac:dyDescent="0.3">
      <c r="A21" s="97" t="s">
        <v>32</v>
      </c>
      <c r="B21" s="115">
        <v>6</v>
      </c>
      <c r="C21" s="166">
        <v>3366.37</v>
      </c>
      <c r="D21" s="167">
        <v>3324.17</v>
      </c>
      <c r="E21" s="168">
        <v>3324.17</v>
      </c>
      <c r="F21" s="168">
        <v>3715.59</v>
      </c>
      <c r="G21" s="169">
        <f t="shared" si="2"/>
        <v>-391.42</v>
      </c>
      <c r="H21" s="170">
        <v>3295.69</v>
      </c>
      <c r="I21" s="168">
        <v>3124.57</v>
      </c>
      <c r="J21" s="168">
        <v>3124.5749409066002</v>
      </c>
      <c r="K21" s="168">
        <v>3187.9199999999996</v>
      </c>
      <c r="L21" s="171">
        <f t="shared" si="0"/>
        <v>-63.35</v>
      </c>
      <c r="M21" s="168">
        <v>3197.36</v>
      </c>
      <c r="N21" s="168">
        <v>3197.36</v>
      </c>
      <c r="O21" s="168">
        <v>3197.36</v>
      </c>
      <c r="P21" s="168">
        <v>5290.47</v>
      </c>
      <c r="Q21" s="171">
        <f t="shared" si="3"/>
        <v>-2093.11</v>
      </c>
      <c r="R21" s="168">
        <v>5612.3600000000006</v>
      </c>
      <c r="S21" s="168">
        <v>8935.4628000000012</v>
      </c>
      <c r="T21" s="168">
        <v>8935.4628000000012</v>
      </c>
      <c r="U21" s="168">
        <v>3870.76</v>
      </c>
      <c r="V21" s="171">
        <f t="shared" si="4"/>
        <v>5064.7</v>
      </c>
      <c r="W21" s="168">
        <v>5331.96</v>
      </c>
      <c r="X21" s="168">
        <v>5230.6499999999996</v>
      </c>
      <c r="Y21" s="168">
        <v>5230.6499999999996</v>
      </c>
      <c r="Z21" s="168">
        <v>2925.47</v>
      </c>
      <c r="AA21" s="171">
        <f t="shared" si="5"/>
        <v>2305.1799999999998</v>
      </c>
      <c r="AB21" s="172">
        <f t="shared" si="6"/>
        <v>17437.37</v>
      </c>
      <c r="AC21" s="172">
        <f t="shared" si="6"/>
        <v>20488.042800000003</v>
      </c>
      <c r="AD21" s="172">
        <f t="shared" si="6"/>
        <v>20488.047740906601</v>
      </c>
      <c r="AE21" s="172">
        <f t="shared" si="6"/>
        <v>15274.619999999999</v>
      </c>
      <c r="AF21" s="173">
        <f t="shared" si="7"/>
        <v>5213.43</v>
      </c>
      <c r="AG21" s="170">
        <v>3816</v>
      </c>
      <c r="AH21" s="168">
        <v>1299.1799999999998</v>
      </c>
      <c r="AI21" s="168">
        <v>1299.1799999999998</v>
      </c>
      <c r="AJ21" s="168">
        <v>3068.49</v>
      </c>
      <c r="AK21" s="171">
        <f t="shared" si="8"/>
        <v>-1769.31</v>
      </c>
      <c r="AL21" s="168">
        <v>3830</v>
      </c>
      <c r="AM21" s="168">
        <v>894.52</v>
      </c>
      <c r="AN21" s="168">
        <v>894.52</v>
      </c>
      <c r="AO21" s="168">
        <v>2958.41</v>
      </c>
      <c r="AP21" s="171">
        <f t="shared" si="9"/>
        <v>-2063.89</v>
      </c>
      <c r="AQ21" s="168">
        <v>4825</v>
      </c>
      <c r="AR21" s="168">
        <v>3836.2</v>
      </c>
      <c r="AS21" s="168">
        <v>3797.2452456664846</v>
      </c>
      <c r="AT21" s="168">
        <v>3718.95</v>
      </c>
      <c r="AU21" s="171">
        <f t="shared" si="10"/>
        <v>78.3</v>
      </c>
      <c r="AV21" s="168">
        <v>4875</v>
      </c>
      <c r="AW21" s="168">
        <v>4450.49</v>
      </c>
      <c r="AX21" s="168">
        <v>4284.53</v>
      </c>
      <c r="AY21" s="171">
        <v>4827.01</v>
      </c>
      <c r="AZ21" s="171">
        <f t="shared" si="11"/>
        <v>-542.48</v>
      </c>
      <c r="BA21" s="172">
        <f t="shared" si="12"/>
        <v>17346</v>
      </c>
      <c r="BB21" s="172">
        <f t="shared" si="12"/>
        <v>10480.39</v>
      </c>
      <c r="BC21" s="172">
        <f t="shared" si="12"/>
        <v>10275.475245666483</v>
      </c>
      <c r="BD21" s="172">
        <f t="shared" si="12"/>
        <v>14572.859999999999</v>
      </c>
      <c r="BE21" s="173">
        <f t="shared" si="13"/>
        <v>-4297.38</v>
      </c>
      <c r="BF21" s="170">
        <v>4519</v>
      </c>
      <c r="BG21" s="168">
        <v>4994.1099999999997</v>
      </c>
      <c r="BH21" s="168">
        <v>4611.6845020501032</v>
      </c>
      <c r="BI21" s="174">
        <v>2652.7200000000003</v>
      </c>
      <c r="BJ21" s="168">
        <f t="shared" si="14"/>
        <v>1958.96</v>
      </c>
      <c r="BK21" s="168">
        <v>4911</v>
      </c>
      <c r="BL21" s="168">
        <v>3856.83</v>
      </c>
      <c r="BM21" s="168">
        <v>3625.875602185929</v>
      </c>
      <c r="BN21" s="171">
        <v>4010.2599999999998</v>
      </c>
      <c r="BO21" s="168">
        <f t="shared" si="15"/>
        <v>-384.38</v>
      </c>
      <c r="BP21" s="175">
        <v>4906</v>
      </c>
      <c r="BQ21" s="175">
        <v>3035.09</v>
      </c>
      <c r="BR21" s="248">
        <v>2932.04</v>
      </c>
      <c r="BS21" s="247">
        <v>3524.1099999999997</v>
      </c>
      <c r="BT21" s="175">
        <f t="shared" si="16"/>
        <v>-592.07000000000005</v>
      </c>
      <c r="BU21" s="175">
        <v>4906</v>
      </c>
      <c r="BV21" s="175">
        <v>6607.11</v>
      </c>
      <c r="BW21" s="248">
        <v>5693.75</v>
      </c>
      <c r="BX21" s="247">
        <v>4432.01</v>
      </c>
      <c r="BY21" s="175">
        <f t="shared" si="17"/>
        <v>1261.74</v>
      </c>
      <c r="BZ21" s="176">
        <f t="shared" si="18"/>
        <v>19242</v>
      </c>
      <c r="CA21" s="176">
        <f t="shared" si="18"/>
        <v>18493.14</v>
      </c>
      <c r="CB21" s="176">
        <f t="shared" si="18"/>
        <v>16863.350104236033</v>
      </c>
      <c r="CC21" s="176">
        <f t="shared" si="18"/>
        <v>14619.1</v>
      </c>
      <c r="CD21" s="177">
        <f t="shared" si="19"/>
        <v>2244.25</v>
      </c>
      <c r="CE21" s="170">
        <v>4374</v>
      </c>
      <c r="CF21" s="168">
        <v>4189.82</v>
      </c>
      <c r="CG21" s="168">
        <v>3651.84</v>
      </c>
      <c r="CH21" s="174">
        <v>3679.28</v>
      </c>
      <c r="CI21" s="168">
        <f t="shared" si="20"/>
        <v>-27.44</v>
      </c>
      <c r="CJ21" s="168"/>
      <c r="CK21" s="168"/>
      <c r="CL21" s="168"/>
      <c r="CM21" s="171"/>
      <c r="CN21" s="168">
        <f t="shared" si="21"/>
        <v>0</v>
      </c>
      <c r="CO21" s="175"/>
      <c r="CP21" s="175"/>
      <c r="CQ21" s="248"/>
      <c r="CR21" s="247"/>
      <c r="CS21" s="175">
        <f t="shared" si="22"/>
        <v>0</v>
      </c>
      <c r="CT21" s="175"/>
      <c r="CU21" s="175"/>
      <c r="CV21" s="248"/>
      <c r="CW21" s="247"/>
      <c r="CX21" s="175">
        <f t="shared" si="23"/>
        <v>0</v>
      </c>
      <c r="CY21" s="176">
        <f t="shared" si="24"/>
        <v>4374</v>
      </c>
      <c r="CZ21" s="176">
        <f t="shared" si="25"/>
        <v>4189.82</v>
      </c>
      <c r="DA21" s="176">
        <f t="shared" si="34"/>
        <v>3651.84</v>
      </c>
      <c r="DB21" s="176">
        <f t="shared" si="27"/>
        <v>3679.28</v>
      </c>
      <c r="DC21" s="177">
        <f t="shared" si="28"/>
        <v>-27.44</v>
      </c>
      <c r="DD21" s="178">
        <f t="shared" si="29"/>
        <v>61765.74</v>
      </c>
      <c r="DE21" s="176">
        <f t="shared" si="30"/>
        <v>56975.5628</v>
      </c>
      <c r="DF21" s="176">
        <f t="shared" si="31"/>
        <v>54602.883090809104</v>
      </c>
      <c r="DG21" s="176">
        <f t="shared" si="32"/>
        <v>51861.45</v>
      </c>
      <c r="DH21" s="177">
        <f t="shared" si="33"/>
        <v>2741.43</v>
      </c>
    </row>
    <row r="22" spans="1:112" x14ac:dyDescent="0.3">
      <c r="A22" s="97" t="s">
        <v>33</v>
      </c>
      <c r="B22" s="115">
        <v>1</v>
      </c>
      <c r="C22" s="166">
        <v>15505</v>
      </c>
      <c r="D22" s="167">
        <v>15310.63</v>
      </c>
      <c r="E22" s="168">
        <v>15310.63</v>
      </c>
      <c r="F22" s="168">
        <v>15579.68</v>
      </c>
      <c r="G22" s="169">
        <f t="shared" si="2"/>
        <v>-269.05</v>
      </c>
      <c r="H22" s="170">
        <v>18425.5</v>
      </c>
      <c r="I22" s="168">
        <v>17468.830000000002</v>
      </c>
      <c r="J22" s="168">
        <v>17468.832194070001</v>
      </c>
      <c r="K22" s="168">
        <v>12915.09</v>
      </c>
      <c r="L22" s="171">
        <f t="shared" si="0"/>
        <v>4553.74</v>
      </c>
      <c r="M22" s="168">
        <v>16095.04</v>
      </c>
      <c r="N22" s="168">
        <v>16095.04</v>
      </c>
      <c r="O22" s="168">
        <v>16095.04</v>
      </c>
      <c r="P22" s="168">
        <v>13899.310000000001</v>
      </c>
      <c r="Q22" s="171">
        <f t="shared" si="3"/>
        <v>2195.73</v>
      </c>
      <c r="R22" s="168">
        <v>16095.04</v>
      </c>
      <c r="S22" s="168">
        <v>11916.32936</v>
      </c>
      <c r="T22" s="168">
        <v>11916.32936</v>
      </c>
      <c r="U22" s="168">
        <v>13488.6</v>
      </c>
      <c r="V22" s="171">
        <f t="shared" si="4"/>
        <v>-1572.27</v>
      </c>
      <c r="W22" s="168">
        <v>14709.060000000001</v>
      </c>
      <c r="X22" s="168">
        <v>14429.590000000002</v>
      </c>
      <c r="Y22" s="168">
        <v>14429.590000000002</v>
      </c>
      <c r="Z22" s="168">
        <v>19586.91</v>
      </c>
      <c r="AA22" s="171">
        <f t="shared" si="5"/>
        <v>-5157.32</v>
      </c>
      <c r="AB22" s="172">
        <f t="shared" si="6"/>
        <v>65324.639999999999</v>
      </c>
      <c r="AC22" s="172">
        <f t="shared" si="6"/>
        <v>59909.789360000002</v>
      </c>
      <c r="AD22" s="172">
        <f t="shared" si="6"/>
        <v>59909.791554070012</v>
      </c>
      <c r="AE22" s="172">
        <f t="shared" si="6"/>
        <v>59889.91</v>
      </c>
      <c r="AF22" s="173">
        <f t="shared" si="7"/>
        <v>19.88</v>
      </c>
      <c r="AG22" s="170">
        <v>14552</v>
      </c>
      <c r="AH22" s="168">
        <v>9643.85</v>
      </c>
      <c r="AI22" s="168">
        <v>9643.85</v>
      </c>
      <c r="AJ22" s="168">
        <v>11934.939999999999</v>
      </c>
      <c r="AK22" s="171">
        <f t="shared" si="8"/>
        <v>-2291.09</v>
      </c>
      <c r="AL22" s="168">
        <v>13014</v>
      </c>
      <c r="AM22" s="168">
        <v>17123.53</v>
      </c>
      <c r="AN22" s="168">
        <v>17123.53</v>
      </c>
      <c r="AO22" s="168">
        <v>12641.939999999999</v>
      </c>
      <c r="AP22" s="171">
        <f t="shared" si="9"/>
        <v>4481.59</v>
      </c>
      <c r="AQ22" s="168">
        <v>13767</v>
      </c>
      <c r="AR22" s="168">
        <v>11825.67</v>
      </c>
      <c r="AS22" s="168">
        <v>11705.586044606844</v>
      </c>
      <c r="AT22" s="168">
        <v>14225.39</v>
      </c>
      <c r="AU22" s="171">
        <f t="shared" si="10"/>
        <v>-2519.8000000000002</v>
      </c>
      <c r="AV22" s="168">
        <v>12992</v>
      </c>
      <c r="AW22" s="168">
        <v>12276.12</v>
      </c>
      <c r="AX22" s="168">
        <v>11818.34</v>
      </c>
      <c r="AY22" s="171">
        <v>13448.3</v>
      </c>
      <c r="AZ22" s="171">
        <f t="shared" si="11"/>
        <v>-1629.96</v>
      </c>
      <c r="BA22" s="172">
        <f t="shared" si="12"/>
        <v>54325</v>
      </c>
      <c r="BB22" s="172">
        <f t="shared" si="12"/>
        <v>50869.17</v>
      </c>
      <c r="BC22" s="172">
        <f t="shared" si="12"/>
        <v>50291.306044606841</v>
      </c>
      <c r="BD22" s="172">
        <f t="shared" si="12"/>
        <v>52250.569999999992</v>
      </c>
      <c r="BE22" s="173">
        <f t="shared" si="13"/>
        <v>-1959.26</v>
      </c>
      <c r="BF22" s="170">
        <v>13385</v>
      </c>
      <c r="BG22" s="168">
        <v>15904.8</v>
      </c>
      <c r="BH22" s="168">
        <v>14686.885084270569</v>
      </c>
      <c r="BI22" s="174">
        <v>9560.64</v>
      </c>
      <c r="BJ22" s="168">
        <f t="shared" si="14"/>
        <v>5126.25</v>
      </c>
      <c r="BK22" s="168">
        <v>12705</v>
      </c>
      <c r="BL22" s="168">
        <v>9385.9699999999993</v>
      </c>
      <c r="BM22" s="168">
        <v>8823.9200654032102</v>
      </c>
      <c r="BN22" s="171">
        <v>15178.14</v>
      </c>
      <c r="BO22" s="168">
        <f t="shared" si="15"/>
        <v>-6354.22</v>
      </c>
      <c r="BP22" s="175">
        <v>10510</v>
      </c>
      <c r="BQ22" s="175">
        <v>8217.86</v>
      </c>
      <c r="BR22" s="248">
        <v>7938.84</v>
      </c>
      <c r="BS22" s="247">
        <v>16717.93</v>
      </c>
      <c r="BT22" s="175">
        <f t="shared" si="16"/>
        <v>-8779.09</v>
      </c>
      <c r="BU22" s="175">
        <v>14286</v>
      </c>
      <c r="BV22" s="175">
        <v>27110.92</v>
      </c>
      <c r="BW22" s="248">
        <v>23363.14</v>
      </c>
      <c r="BX22" s="247">
        <v>12941.85</v>
      </c>
      <c r="BY22" s="175">
        <f t="shared" si="17"/>
        <v>10421.290000000001</v>
      </c>
      <c r="BZ22" s="176">
        <f t="shared" si="18"/>
        <v>50886</v>
      </c>
      <c r="CA22" s="176">
        <f t="shared" si="18"/>
        <v>60619.549999999996</v>
      </c>
      <c r="CB22" s="176">
        <f t="shared" si="18"/>
        <v>54812.785149673779</v>
      </c>
      <c r="CC22" s="176">
        <f t="shared" si="18"/>
        <v>54398.559999999998</v>
      </c>
      <c r="CD22" s="177">
        <f t="shared" si="19"/>
        <v>414.23</v>
      </c>
      <c r="CE22" s="170">
        <v>15095</v>
      </c>
      <c r="CF22" s="168">
        <v>11017.52</v>
      </c>
      <c r="CG22" s="168">
        <v>9602.86</v>
      </c>
      <c r="CH22" s="174">
        <v>15428.18</v>
      </c>
      <c r="CI22" s="168">
        <f t="shared" si="20"/>
        <v>-5825.32</v>
      </c>
      <c r="CJ22" s="168"/>
      <c r="CK22" s="168"/>
      <c r="CL22" s="168"/>
      <c r="CM22" s="171"/>
      <c r="CN22" s="168">
        <f t="shared" si="21"/>
        <v>0</v>
      </c>
      <c r="CO22" s="175"/>
      <c r="CP22" s="175"/>
      <c r="CQ22" s="248"/>
      <c r="CR22" s="247"/>
      <c r="CS22" s="175">
        <f t="shared" si="22"/>
        <v>0</v>
      </c>
      <c r="CT22" s="175"/>
      <c r="CU22" s="175"/>
      <c r="CV22" s="248"/>
      <c r="CW22" s="247"/>
      <c r="CX22" s="175">
        <f t="shared" si="23"/>
        <v>0</v>
      </c>
      <c r="CY22" s="176">
        <f t="shared" si="24"/>
        <v>15095</v>
      </c>
      <c r="CZ22" s="176">
        <f t="shared" si="25"/>
        <v>11017.52</v>
      </c>
      <c r="DA22" s="176">
        <f t="shared" si="34"/>
        <v>9602.86</v>
      </c>
      <c r="DB22" s="176">
        <f t="shared" si="27"/>
        <v>15428.18</v>
      </c>
      <c r="DC22" s="177">
        <f t="shared" si="28"/>
        <v>-5825.32</v>
      </c>
      <c r="DD22" s="178">
        <f t="shared" si="29"/>
        <v>201135.64</v>
      </c>
      <c r="DE22" s="176">
        <f t="shared" si="30"/>
        <v>197726.65935999999</v>
      </c>
      <c r="DF22" s="176">
        <f t="shared" si="31"/>
        <v>189927.37274835061</v>
      </c>
      <c r="DG22" s="176">
        <f t="shared" si="32"/>
        <v>197546.89999999997</v>
      </c>
      <c r="DH22" s="177">
        <f t="shared" si="33"/>
        <v>-7619.53</v>
      </c>
    </row>
    <row r="23" spans="1:112" x14ac:dyDescent="0.3">
      <c r="A23" s="97" t="s">
        <v>34</v>
      </c>
      <c r="B23" s="115">
        <v>4</v>
      </c>
      <c r="C23" s="166">
        <v>5620</v>
      </c>
      <c r="D23" s="167">
        <v>5549.55</v>
      </c>
      <c r="E23" s="168">
        <v>5549.55</v>
      </c>
      <c r="F23" s="168">
        <v>1395.67</v>
      </c>
      <c r="G23" s="169">
        <f t="shared" si="2"/>
        <v>4153.88</v>
      </c>
      <c r="H23" s="170">
        <v>0</v>
      </c>
      <c r="I23" s="168">
        <v>0</v>
      </c>
      <c r="J23" s="168">
        <v>0</v>
      </c>
      <c r="K23" s="168">
        <v>1756.3899999999999</v>
      </c>
      <c r="L23" s="171">
        <f t="shared" si="0"/>
        <v>-1756.39</v>
      </c>
      <c r="M23" s="168">
        <v>4754.7700000000004</v>
      </c>
      <c r="N23" s="168">
        <v>600.89000000000033</v>
      </c>
      <c r="O23" s="168">
        <v>600.89000000000033</v>
      </c>
      <c r="P23" s="168">
        <v>867.95999999999992</v>
      </c>
      <c r="Q23" s="171">
        <f t="shared" si="3"/>
        <v>-267.07</v>
      </c>
      <c r="R23" s="168">
        <v>5350</v>
      </c>
      <c r="S23" s="168">
        <v>3522.2205199999994</v>
      </c>
      <c r="T23" s="168">
        <v>3522.2205199999994</v>
      </c>
      <c r="U23" s="168">
        <v>1152.8499999999999</v>
      </c>
      <c r="V23" s="171">
        <f t="shared" si="4"/>
        <v>2369.37</v>
      </c>
      <c r="W23" s="168">
        <v>2400</v>
      </c>
      <c r="X23" s="168">
        <v>2354.4</v>
      </c>
      <c r="Y23" s="168">
        <v>2354.4</v>
      </c>
      <c r="Z23" s="168">
        <v>1440.8600000000001</v>
      </c>
      <c r="AA23" s="171">
        <f t="shared" si="5"/>
        <v>913.54</v>
      </c>
      <c r="AB23" s="172">
        <f t="shared" si="6"/>
        <v>12504.77</v>
      </c>
      <c r="AC23" s="172">
        <f t="shared" si="6"/>
        <v>6477.5105199999998</v>
      </c>
      <c r="AD23" s="172">
        <f t="shared" si="6"/>
        <v>6477.5105199999998</v>
      </c>
      <c r="AE23" s="172">
        <f t="shared" si="6"/>
        <v>5218.0599999999995</v>
      </c>
      <c r="AF23" s="173">
        <f t="shared" si="7"/>
        <v>1259.45</v>
      </c>
      <c r="AG23" s="170">
        <v>1025</v>
      </c>
      <c r="AH23" s="168">
        <v>0</v>
      </c>
      <c r="AI23" s="168">
        <v>0</v>
      </c>
      <c r="AJ23" s="168">
        <v>978.55000000000007</v>
      </c>
      <c r="AK23" s="171">
        <f t="shared" si="8"/>
        <v>-978.55</v>
      </c>
      <c r="AL23" s="168">
        <v>13656</v>
      </c>
      <c r="AM23" s="168">
        <v>12677.16</v>
      </c>
      <c r="AN23" s="168">
        <v>12677.16</v>
      </c>
      <c r="AO23" s="168">
        <v>3107.58</v>
      </c>
      <c r="AP23" s="171">
        <f t="shared" si="9"/>
        <v>9569.58</v>
      </c>
      <c r="AQ23" s="168">
        <v>5648</v>
      </c>
      <c r="AR23" s="168">
        <v>0</v>
      </c>
      <c r="AS23" s="168">
        <v>0</v>
      </c>
      <c r="AT23" s="168">
        <v>2837.05</v>
      </c>
      <c r="AU23" s="171">
        <f t="shared" si="10"/>
        <v>-2837.05</v>
      </c>
      <c r="AV23" s="168">
        <v>5918</v>
      </c>
      <c r="AW23" s="168">
        <v>0</v>
      </c>
      <c r="AX23" s="168">
        <v>0</v>
      </c>
      <c r="AY23" s="180">
        <v>1553.45</v>
      </c>
      <c r="AZ23" s="171">
        <f t="shared" si="11"/>
        <v>-1553.45</v>
      </c>
      <c r="BA23" s="172">
        <f t="shared" si="12"/>
        <v>26247</v>
      </c>
      <c r="BB23" s="172">
        <f t="shared" si="12"/>
        <v>12677.16</v>
      </c>
      <c r="BC23" s="172">
        <f t="shared" si="12"/>
        <v>12677.16</v>
      </c>
      <c r="BD23" s="172">
        <f t="shared" si="12"/>
        <v>8476.630000000001</v>
      </c>
      <c r="BE23" s="173">
        <f t="shared" si="13"/>
        <v>4200.53</v>
      </c>
      <c r="BF23" s="170">
        <v>2654</v>
      </c>
      <c r="BG23" s="168">
        <v>0</v>
      </c>
      <c r="BH23" s="168">
        <v>0</v>
      </c>
      <c r="BI23" s="174">
        <v>4833.55</v>
      </c>
      <c r="BJ23" s="168">
        <f t="shared" si="14"/>
        <v>-4833.55</v>
      </c>
      <c r="BK23" s="168">
        <v>1580</v>
      </c>
      <c r="BL23" s="168">
        <v>0</v>
      </c>
      <c r="BM23" s="168">
        <v>0</v>
      </c>
      <c r="BN23" s="171">
        <v>1000.6</v>
      </c>
      <c r="BO23" s="168">
        <f t="shared" si="15"/>
        <v>-1000.6</v>
      </c>
      <c r="BP23" s="175">
        <v>3916</v>
      </c>
      <c r="BQ23" s="175">
        <v>1482.69</v>
      </c>
      <c r="BR23" s="248">
        <v>1432.35</v>
      </c>
      <c r="BS23" s="247">
        <v>1111.81</v>
      </c>
      <c r="BT23" s="175">
        <f t="shared" si="16"/>
        <v>320.54000000000002</v>
      </c>
      <c r="BU23" s="175">
        <v>2490</v>
      </c>
      <c r="BV23" s="175">
        <v>3165.02</v>
      </c>
      <c r="BW23" s="248">
        <v>2727.49</v>
      </c>
      <c r="BX23" s="247">
        <v>1170.9100000000001</v>
      </c>
      <c r="BY23" s="175">
        <f t="shared" si="17"/>
        <v>1556.58</v>
      </c>
      <c r="BZ23" s="176">
        <f t="shared" si="18"/>
        <v>10640</v>
      </c>
      <c r="CA23" s="176">
        <f t="shared" si="18"/>
        <v>4647.71</v>
      </c>
      <c r="CB23" s="176">
        <f t="shared" si="18"/>
        <v>4159.84</v>
      </c>
      <c r="CC23" s="176">
        <f t="shared" si="18"/>
        <v>8116.8700000000008</v>
      </c>
      <c r="CD23" s="177">
        <f t="shared" si="19"/>
        <v>-3957.03</v>
      </c>
      <c r="CE23" s="170">
        <v>2570</v>
      </c>
      <c r="CF23" s="168">
        <v>909.36999999999989</v>
      </c>
      <c r="CG23" s="168">
        <v>792.61</v>
      </c>
      <c r="CH23" s="174">
        <v>1534.4899999999998</v>
      </c>
      <c r="CI23" s="168">
        <f t="shared" si="20"/>
        <v>-741.88</v>
      </c>
      <c r="CJ23" s="168"/>
      <c r="CK23" s="168"/>
      <c r="CL23" s="168"/>
      <c r="CM23" s="171"/>
      <c r="CN23" s="168">
        <f t="shared" si="21"/>
        <v>0</v>
      </c>
      <c r="CO23" s="175"/>
      <c r="CP23" s="175"/>
      <c r="CQ23" s="248"/>
      <c r="CR23" s="247"/>
      <c r="CS23" s="175">
        <f t="shared" si="22"/>
        <v>0</v>
      </c>
      <c r="CT23" s="175"/>
      <c r="CU23" s="175"/>
      <c r="CV23" s="248"/>
      <c r="CW23" s="247"/>
      <c r="CX23" s="175">
        <f t="shared" si="23"/>
        <v>0</v>
      </c>
      <c r="CY23" s="176">
        <f t="shared" si="24"/>
        <v>2570</v>
      </c>
      <c r="CZ23" s="176">
        <f t="shared" si="25"/>
        <v>909.36999999999989</v>
      </c>
      <c r="DA23" s="176">
        <f t="shared" si="34"/>
        <v>792.61</v>
      </c>
      <c r="DB23" s="176">
        <f t="shared" si="27"/>
        <v>1534.4899999999998</v>
      </c>
      <c r="DC23" s="177">
        <f t="shared" si="28"/>
        <v>-741.88</v>
      </c>
      <c r="DD23" s="178">
        <f t="shared" si="29"/>
        <v>57581.770000000004</v>
      </c>
      <c r="DE23" s="176">
        <f t="shared" si="30"/>
        <v>30261.300519999997</v>
      </c>
      <c r="DF23" s="176">
        <f t="shared" si="31"/>
        <v>29656.67052</v>
      </c>
      <c r="DG23" s="176">
        <f t="shared" si="32"/>
        <v>24741.72</v>
      </c>
      <c r="DH23" s="177">
        <f t="shared" si="33"/>
        <v>4914.95</v>
      </c>
    </row>
    <row r="24" spans="1:112" x14ac:dyDescent="0.3">
      <c r="A24" s="97" t="s">
        <v>35</v>
      </c>
      <c r="B24" s="115">
        <v>2</v>
      </c>
      <c r="C24" s="166">
        <v>4631.74</v>
      </c>
      <c r="D24" s="167">
        <v>4573.68</v>
      </c>
      <c r="E24" s="168">
        <v>4573.68</v>
      </c>
      <c r="F24" s="168">
        <v>4742.37</v>
      </c>
      <c r="G24" s="169">
        <f t="shared" si="2"/>
        <v>-168.69</v>
      </c>
      <c r="H24" s="170">
        <v>4627.55</v>
      </c>
      <c r="I24" s="168">
        <v>4387.28</v>
      </c>
      <c r="J24" s="168">
        <v>4387.2836243070005</v>
      </c>
      <c r="K24" s="168">
        <v>4528.1099999999997</v>
      </c>
      <c r="L24" s="171">
        <f t="shared" si="0"/>
        <v>-140.83000000000001</v>
      </c>
      <c r="M24" s="168">
        <v>4782</v>
      </c>
      <c r="N24" s="168">
        <v>4782</v>
      </c>
      <c r="O24" s="168">
        <v>4782</v>
      </c>
      <c r="P24" s="168">
        <v>5379.95</v>
      </c>
      <c r="Q24" s="171">
        <f t="shared" si="3"/>
        <v>-597.95000000000005</v>
      </c>
      <c r="R24" s="168">
        <v>4872.3500000000004</v>
      </c>
      <c r="S24" s="168">
        <v>5983.9779000000008</v>
      </c>
      <c r="T24" s="168">
        <v>5983.9779000000008</v>
      </c>
      <c r="U24" s="168">
        <v>4752.1499999999996</v>
      </c>
      <c r="V24" s="171">
        <f t="shared" si="4"/>
        <v>1231.83</v>
      </c>
      <c r="W24" s="168">
        <v>5004.46</v>
      </c>
      <c r="X24" s="168">
        <v>4909.38</v>
      </c>
      <c r="Y24" s="168">
        <v>4909.38</v>
      </c>
      <c r="Z24" s="168">
        <v>4742.6099999999997</v>
      </c>
      <c r="AA24" s="171">
        <f t="shared" si="5"/>
        <v>166.77</v>
      </c>
      <c r="AB24" s="172">
        <f t="shared" si="6"/>
        <v>19286.36</v>
      </c>
      <c r="AC24" s="172">
        <f t="shared" si="6"/>
        <v>20062.637900000002</v>
      </c>
      <c r="AD24" s="172">
        <f t="shared" si="6"/>
        <v>20062.641524307004</v>
      </c>
      <c r="AE24" s="172">
        <f t="shared" si="6"/>
        <v>19402.82</v>
      </c>
      <c r="AF24" s="173">
        <f t="shared" si="7"/>
        <v>659.82</v>
      </c>
      <c r="AG24" s="170">
        <v>4687</v>
      </c>
      <c r="AH24" s="168">
        <v>4362.6400000000003</v>
      </c>
      <c r="AI24" s="168">
        <v>4362.6400000000003</v>
      </c>
      <c r="AJ24" s="168">
        <v>4692.04</v>
      </c>
      <c r="AK24" s="171">
        <f t="shared" si="8"/>
        <v>-329.4</v>
      </c>
      <c r="AL24" s="168">
        <v>5102</v>
      </c>
      <c r="AM24" s="168">
        <v>4769.9399999999996</v>
      </c>
      <c r="AN24" s="168">
        <v>4769.9399999999996</v>
      </c>
      <c r="AO24" s="168">
        <v>5063.66</v>
      </c>
      <c r="AP24" s="171">
        <f t="shared" si="9"/>
        <v>-293.72000000000003</v>
      </c>
      <c r="AQ24" s="168">
        <v>4875</v>
      </c>
      <c r="AR24" s="168">
        <v>4691.99</v>
      </c>
      <c r="AS24" s="168">
        <v>4644.3451124067278</v>
      </c>
      <c r="AT24" s="168">
        <v>5999.8099999999995</v>
      </c>
      <c r="AU24" s="171">
        <f t="shared" si="10"/>
        <v>-1355.46</v>
      </c>
      <c r="AV24" s="168">
        <v>5450</v>
      </c>
      <c r="AW24" s="168">
        <v>6729.86</v>
      </c>
      <c r="AX24" s="168">
        <v>6478.9</v>
      </c>
      <c r="AY24" s="171">
        <v>5050.49</v>
      </c>
      <c r="AZ24" s="171">
        <f t="shared" si="11"/>
        <v>1428.41</v>
      </c>
      <c r="BA24" s="172">
        <f t="shared" si="12"/>
        <v>20114</v>
      </c>
      <c r="BB24" s="172">
        <f t="shared" si="12"/>
        <v>20554.43</v>
      </c>
      <c r="BC24" s="172">
        <f t="shared" si="12"/>
        <v>20255.825112406725</v>
      </c>
      <c r="BD24" s="172">
        <f t="shared" si="12"/>
        <v>20806</v>
      </c>
      <c r="BE24" s="173">
        <f t="shared" si="13"/>
        <v>-550.16999999999996</v>
      </c>
      <c r="BF24" s="170">
        <v>5200</v>
      </c>
      <c r="BG24" s="168">
        <v>5687.94</v>
      </c>
      <c r="BH24" s="168">
        <v>5252.3842579740667</v>
      </c>
      <c r="BI24" s="174">
        <v>4629.3999999999996</v>
      </c>
      <c r="BJ24" s="168">
        <f t="shared" si="14"/>
        <v>622.98</v>
      </c>
      <c r="BK24" s="168">
        <v>4903</v>
      </c>
      <c r="BL24" s="168">
        <v>2778.49</v>
      </c>
      <c r="BM24" s="168">
        <v>2612.108675237846</v>
      </c>
      <c r="BN24" s="171">
        <v>4900.9800000000005</v>
      </c>
      <c r="BO24" s="168">
        <f t="shared" si="15"/>
        <v>-2288.87</v>
      </c>
      <c r="BP24" s="175">
        <v>4883</v>
      </c>
      <c r="BQ24" s="175">
        <v>6616.25</v>
      </c>
      <c r="BR24" s="248">
        <v>6391.61</v>
      </c>
      <c r="BS24" s="247">
        <v>6089.9299999999994</v>
      </c>
      <c r="BT24" s="175">
        <f t="shared" si="16"/>
        <v>301.68</v>
      </c>
      <c r="BU24" s="175">
        <v>5200</v>
      </c>
      <c r="BV24" s="175">
        <v>6882.24</v>
      </c>
      <c r="BW24" s="248">
        <v>5930.85</v>
      </c>
      <c r="BX24" s="247">
        <v>5580.35</v>
      </c>
      <c r="BY24" s="175">
        <f t="shared" si="17"/>
        <v>350.5</v>
      </c>
      <c r="BZ24" s="176">
        <f t="shared" si="18"/>
        <v>20186</v>
      </c>
      <c r="CA24" s="176">
        <f t="shared" si="18"/>
        <v>21964.92</v>
      </c>
      <c r="CB24" s="176">
        <f t="shared" si="18"/>
        <v>20186.952933211913</v>
      </c>
      <c r="CC24" s="176">
        <f t="shared" si="18"/>
        <v>21200.660000000003</v>
      </c>
      <c r="CD24" s="177">
        <f t="shared" si="19"/>
        <v>-1013.71</v>
      </c>
      <c r="CE24" s="170">
        <v>5164</v>
      </c>
      <c r="CF24" s="168">
        <v>4246.5599999999995</v>
      </c>
      <c r="CG24" s="168">
        <v>3701.3</v>
      </c>
      <c r="CH24" s="174">
        <v>4846.33</v>
      </c>
      <c r="CI24" s="168">
        <f t="shared" si="20"/>
        <v>-1145.03</v>
      </c>
      <c r="CJ24" s="168"/>
      <c r="CK24" s="168"/>
      <c r="CL24" s="168"/>
      <c r="CM24" s="171"/>
      <c r="CN24" s="168">
        <f t="shared" si="21"/>
        <v>0</v>
      </c>
      <c r="CO24" s="175"/>
      <c r="CP24" s="175"/>
      <c r="CQ24" s="248"/>
      <c r="CR24" s="247"/>
      <c r="CS24" s="175">
        <f t="shared" si="22"/>
        <v>0</v>
      </c>
      <c r="CT24" s="175"/>
      <c r="CU24" s="175"/>
      <c r="CV24" s="248"/>
      <c r="CW24" s="247"/>
      <c r="CX24" s="175">
        <f t="shared" si="23"/>
        <v>0</v>
      </c>
      <c r="CY24" s="176">
        <f t="shared" si="24"/>
        <v>5164</v>
      </c>
      <c r="CZ24" s="176">
        <f t="shared" si="25"/>
        <v>4246.5599999999995</v>
      </c>
      <c r="DA24" s="176">
        <f t="shared" si="34"/>
        <v>3701.3</v>
      </c>
      <c r="DB24" s="176">
        <f t="shared" si="27"/>
        <v>4846.33</v>
      </c>
      <c r="DC24" s="177">
        <f t="shared" si="28"/>
        <v>-1145.03</v>
      </c>
      <c r="DD24" s="178">
        <f t="shared" si="29"/>
        <v>69382.100000000006</v>
      </c>
      <c r="DE24" s="176">
        <f t="shared" si="30"/>
        <v>71402.227899999998</v>
      </c>
      <c r="DF24" s="176">
        <f t="shared" si="31"/>
        <v>68780.399569925648</v>
      </c>
      <c r="DG24" s="176">
        <f t="shared" si="32"/>
        <v>70998.180000000008</v>
      </c>
      <c r="DH24" s="177">
        <f t="shared" si="33"/>
        <v>-2217.7800000000002</v>
      </c>
    </row>
    <row r="25" spans="1:112" x14ac:dyDescent="0.3">
      <c r="A25" s="97" t="s">
        <v>36</v>
      </c>
      <c r="B25" s="115">
        <v>1</v>
      </c>
      <c r="C25" s="166">
        <v>5685</v>
      </c>
      <c r="D25" s="167">
        <v>5613.73</v>
      </c>
      <c r="E25" s="168">
        <v>5613.73</v>
      </c>
      <c r="F25" s="168">
        <v>4890.87</v>
      </c>
      <c r="G25" s="169">
        <f t="shared" si="2"/>
        <v>722.86</v>
      </c>
      <c r="H25" s="170">
        <v>4754.41</v>
      </c>
      <c r="I25" s="168">
        <v>4507.5600000000004</v>
      </c>
      <c r="J25" s="168">
        <v>4507.5569440073996</v>
      </c>
      <c r="K25" s="168">
        <v>4636.7700000000004</v>
      </c>
      <c r="L25" s="171">
        <f t="shared" si="0"/>
        <v>-129.21</v>
      </c>
      <c r="M25" s="168">
        <v>5238.6499999999996</v>
      </c>
      <c r="N25" s="168">
        <v>4515.79</v>
      </c>
      <c r="O25" s="168">
        <v>4515.79</v>
      </c>
      <c r="P25" s="168">
        <v>5580.1900000000005</v>
      </c>
      <c r="Q25" s="171">
        <f t="shared" si="3"/>
        <v>-1064.4000000000001</v>
      </c>
      <c r="R25" s="168">
        <v>5546.71</v>
      </c>
      <c r="S25" s="168">
        <v>6665.8125</v>
      </c>
      <c r="T25" s="168">
        <v>6665.8125</v>
      </c>
      <c r="U25" s="168">
        <v>5983.57</v>
      </c>
      <c r="V25" s="171">
        <f t="shared" si="4"/>
        <v>682.24</v>
      </c>
      <c r="W25" s="168">
        <v>5311.58</v>
      </c>
      <c r="X25" s="168">
        <v>5210.66</v>
      </c>
      <c r="Y25" s="168">
        <v>5210.66</v>
      </c>
      <c r="Z25" s="168">
        <v>5654.02</v>
      </c>
      <c r="AA25" s="171">
        <f t="shared" si="5"/>
        <v>-443.36</v>
      </c>
      <c r="AB25" s="172">
        <f t="shared" si="6"/>
        <v>20851.349999999999</v>
      </c>
      <c r="AC25" s="172">
        <f t="shared" si="6"/>
        <v>20899.822500000002</v>
      </c>
      <c r="AD25" s="172">
        <f t="shared" si="6"/>
        <v>20899.8194440074</v>
      </c>
      <c r="AE25" s="172">
        <f t="shared" si="6"/>
        <v>21854.550000000003</v>
      </c>
      <c r="AF25" s="173">
        <f t="shared" si="7"/>
        <v>-954.73</v>
      </c>
      <c r="AG25" s="170">
        <v>5020</v>
      </c>
      <c r="AH25" s="168">
        <v>4878.55</v>
      </c>
      <c r="AI25" s="168">
        <v>4878.55</v>
      </c>
      <c r="AJ25" s="168">
        <v>5544.9</v>
      </c>
      <c r="AK25" s="171">
        <f t="shared" si="8"/>
        <v>-666.35</v>
      </c>
      <c r="AL25" s="168">
        <v>5641</v>
      </c>
      <c r="AM25" s="168">
        <v>6084.36</v>
      </c>
      <c r="AN25" s="168">
        <v>6084.36</v>
      </c>
      <c r="AO25" s="168">
        <v>4842.8500000000004</v>
      </c>
      <c r="AP25" s="171">
        <f t="shared" si="9"/>
        <v>1241.51</v>
      </c>
      <c r="AQ25" s="168">
        <v>6498</v>
      </c>
      <c r="AR25" s="168">
        <v>6224.75</v>
      </c>
      <c r="AS25" s="168">
        <v>6161.5406764408663</v>
      </c>
      <c r="AT25" s="168">
        <v>4985.63</v>
      </c>
      <c r="AU25" s="171">
        <f t="shared" si="10"/>
        <v>1175.9100000000001</v>
      </c>
      <c r="AV25" s="168">
        <v>5637</v>
      </c>
      <c r="AW25" s="168">
        <v>5637</v>
      </c>
      <c r="AX25" s="168">
        <v>5426.79</v>
      </c>
      <c r="AY25" s="171">
        <v>9568.4000000000015</v>
      </c>
      <c r="AZ25" s="171">
        <f t="shared" si="11"/>
        <v>-4141.6099999999997</v>
      </c>
      <c r="BA25" s="172">
        <f t="shared" si="12"/>
        <v>22796</v>
      </c>
      <c r="BB25" s="172">
        <f t="shared" si="12"/>
        <v>22824.66</v>
      </c>
      <c r="BC25" s="172">
        <f t="shared" si="12"/>
        <v>22551.240676440866</v>
      </c>
      <c r="BD25" s="172">
        <f t="shared" si="12"/>
        <v>24941.780000000002</v>
      </c>
      <c r="BE25" s="173">
        <f t="shared" si="13"/>
        <v>-2390.54</v>
      </c>
      <c r="BF25" s="170">
        <v>5710</v>
      </c>
      <c r="BG25" s="168">
        <v>4323.62</v>
      </c>
      <c r="BH25" s="168">
        <v>3992.5374785004474</v>
      </c>
      <c r="BI25" s="174">
        <v>4041.94</v>
      </c>
      <c r="BJ25" s="168">
        <f t="shared" si="14"/>
        <v>-49.4</v>
      </c>
      <c r="BK25" s="168">
        <v>4850</v>
      </c>
      <c r="BL25" s="168">
        <v>4086.68</v>
      </c>
      <c r="BM25" s="168">
        <v>3841.9617421408752</v>
      </c>
      <c r="BN25" s="171">
        <v>4273.51</v>
      </c>
      <c r="BO25" s="168">
        <f t="shared" si="15"/>
        <v>-431.55</v>
      </c>
      <c r="BP25" s="175">
        <v>3810</v>
      </c>
      <c r="BQ25" s="175">
        <v>4147.2</v>
      </c>
      <c r="BR25" s="248">
        <v>4006.39</v>
      </c>
      <c r="BS25" s="247">
        <v>4369.75</v>
      </c>
      <c r="BT25" s="175">
        <f t="shared" si="16"/>
        <v>-363.36</v>
      </c>
      <c r="BU25" s="175">
        <v>4860</v>
      </c>
      <c r="BV25" s="175">
        <v>5693.46</v>
      </c>
      <c r="BW25" s="248">
        <v>4906.3999999999996</v>
      </c>
      <c r="BX25" s="247">
        <v>5331.82</v>
      </c>
      <c r="BY25" s="175">
        <f t="shared" si="17"/>
        <v>-425.42</v>
      </c>
      <c r="BZ25" s="176">
        <f t="shared" si="18"/>
        <v>19230</v>
      </c>
      <c r="CA25" s="176">
        <f t="shared" si="18"/>
        <v>18250.96</v>
      </c>
      <c r="CB25" s="176">
        <f t="shared" si="18"/>
        <v>16747.289220641323</v>
      </c>
      <c r="CC25" s="176">
        <f t="shared" si="18"/>
        <v>18017.02</v>
      </c>
      <c r="CD25" s="177">
        <f t="shared" si="19"/>
        <v>-1269.73</v>
      </c>
      <c r="CE25" s="170">
        <v>4306</v>
      </c>
      <c r="CF25" s="168">
        <v>4095.96</v>
      </c>
      <c r="CG25" s="168">
        <v>3570.03</v>
      </c>
      <c r="CH25" s="174">
        <v>4433.6000000000004</v>
      </c>
      <c r="CI25" s="168">
        <f t="shared" si="20"/>
        <v>-863.57</v>
      </c>
      <c r="CJ25" s="168"/>
      <c r="CK25" s="168"/>
      <c r="CL25" s="168"/>
      <c r="CM25" s="171"/>
      <c r="CN25" s="168">
        <f t="shared" si="21"/>
        <v>0</v>
      </c>
      <c r="CO25" s="175"/>
      <c r="CP25" s="175"/>
      <c r="CQ25" s="248"/>
      <c r="CR25" s="247"/>
      <c r="CS25" s="175">
        <f t="shared" si="22"/>
        <v>0</v>
      </c>
      <c r="CT25" s="175"/>
      <c r="CU25" s="175"/>
      <c r="CV25" s="248"/>
      <c r="CW25" s="247"/>
      <c r="CX25" s="175">
        <f t="shared" si="23"/>
        <v>0</v>
      </c>
      <c r="CY25" s="176">
        <f t="shared" si="24"/>
        <v>4306</v>
      </c>
      <c r="CZ25" s="176">
        <f t="shared" si="25"/>
        <v>4095.96</v>
      </c>
      <c r="DA25" s="176">
        <f t="shared" si="34"/>
        <v>3570.03</v>
      </c>
      <c r="DB25" s="176">
        <f t="shared" si="27"/>
        <v>4433.6000000000004</v>
      </c>
      <c r="DC25" s="177">
        <f t="shared" si="28"/>
        <v>-863.57</v>
      </c>
      <c r="DD25" s="178">
        <f t="shared" si="29"/>
        <v>72868.350000000006</v>
      </c>
      <c r="DE25" s="176">
        <f t="shared" si="30"/>
        <v>71685.132500000007</v>
      </c>
      <c r="DF25" s="176">
        <f t="shared" si="31"/>
        <v>69382.109341089585</v>
      </c>
      <c r="DG25" s="176">
        <f t="shared" si="32"/>
        <v>74137.820000000007</v>
      </c>
      <c r="DH25" s="177">
        <f t="shared" si="33"/>
        <v>-4755.71</v>
      </c>
    </row>
    <row r="26" spans="1:112" x14ac:dyDescent="0.3">
      <c r="A26" s="97" t="s">
        <v>37</v>
      </c>
      <c r="B26" s="115">
        <v>2</v>
      </c>
      <c r="C26" s="166">
        <v>2440</v>
      </c>
      <c r="D26" s="167">
        <v>2409.41</v>
      </c>
      <c r="E26" s="168">
        <v>2409.41</v>
      </c>
      <c r="F26" s="168">
        <v>3141.7799999999997</v>
      </c>
      <c r="G26" s="169">
        <f t="shared" si="2"/>
        <v>-732.37</v>
      </c>
      <c r="H26" s="170">
        <v>3548</v>
      </c>
      <c r="I26" s="168">
        <v>3363.78</v>
      </c>
      <c r="J26" s="168">
        <v>3363.7847887200001</v>
      </c>
      <c r="K26" s="168">
        <v>3099.04</v>
      </c>
      <c r="L26" s="171">
        <f t="shared" si="0"/>
        <v>264.74</v>
      </c>
      <c r="M26" s="168">
        <v>4374.46</v>
      </c>
      <c r="N26" s="168">
        <v>4374.46</v>
      </c>
      <c r="O26" s="168">
        <v>4374.46</v>
      </c>
      <c r="P26" s="168">
        <v>4872.9400000000005</v>
      </c>
      <c r="Q26" s="171">
        <f t="shared" si="3"/>
        <v>-498.48</v>
      </c>
      <c r="R26" s="168">
        <v>1861</v>
      </c>
      <c r="S26" s="168">
        <v>3097.0990049999996</v>
      </c>
      <c r="T26" s="168">
        <v>3097.0990049999996</v>
      </c>
      <c r="U26" s="168">
        <v>3588.76</v>
      </c>
      <c r="V26" s="171">
        <f t="shared" si="4"/>
        <v>-491.66</v>
      </c>
      <c r="W26" s="168">
        <v>1914</v>
      </c>
      <c r="X26" s="168">
        <v>1877.63</v>
      </c>
      <c r="Y26" s="168">
        <v>1877.63</v>
      </c>
      <c r="Z26" s="168">
        <v>5578.32</v>
      </c>
      <c r="AA26" s="171">
        <f t="shared" si="5"/>
        <v>-3700.69</v>
      </c>
      <c r="AB26" s="172">
        <f t="shared" si="6"/>
        <v>11697.46</v>
      </c>
      <c r="AC26" s="172">
        <f t="shared" si="6"/>
        <v>12712.969004999999</v>
      </c>
      <c r="AD26" s="172">
        <f t="shared" si="6"/>
        <v>12712.973793720001</v>
      </c>
      <c r="AE26" s="172">
        <f t="shared" si="6"/>
        <v>17139.060000000001</v>
      </c>
      <c r="AF26" s="173">
        <f t="shared" si="7"/>
        <v>-4426.09</v>
      </c>
      <c r="AG26" s="170">
        <v>4807</v>
      </c>
      <c r="AH26" s="168">
        <v>6264.77</v>
      </c>
      <c r="AI26" s="168">
        <v>6264.77</v>
      </c>
      <c r="AJ26" s="168">
        <v>4184.1399999999994</v>
      </c>
      <c r="AK26" s="171">
        <f t="shared" si="8"/>
        <v>2080.63</v>
      </c>
      <c r="AL26" s="168">
        <v>5904</v>
      </c>
      <c r="AM26" s="168">
        <v>7685.99</v>
      </c>
      <c r="AN26" s="168">
        <v>7685.99</v>
      </c>
      <c r="AO26" s="168">
        <v>6341.59</v>
      </c>
      <c r="AP26" s="171">
        <f t="shared" si="9"/>
        <v>1344.4</v>
      </c>
      <c r="AQ26" s="168">
        <v>3668</v>
      </c>
      <c r="AR26" s="168">
        <v>5401.43</v>
      </c>
      <c r="AS26" s="168">
        <v>5346.5810925656433</v>
      </c>
      <c r="AT26" s="168">
        <v>3258.8599999999997</v>
      </c>
      <c r="AU26" s="171">
        <f t="shared" si="10"/>
        <v>2087.7199999999998</v>
      </c>
      <c r="AV26" s="168">
        <v>4788</v>
      </c>
      <c r="AW26" s="168">
        <v>5962.85</v>
      </c>
      <c r="AX26" s="168">
        <v>5740.4900000000007</v>
      </c>
      <c r="AY26" s="171">
        <v>3012.05</v>
      </c>
      <c r="AZ26" s="171">
        <f t="shared" si="11"/>
        <v>2728.44</v>
      </c>
      <c r="BA26" s="172">
        <f t="shared" si="12"/>
        <v>19167</v>
      </c>
      <c r="BB26" s="172">
        <f t="shared" si="12"/>
        <v>25315.040000000001</v>
      </c>
      <c r="BC26" s="172">
        <f t="shared" si="12"/>
        <v>25037.831092565644</v>
      </c>
      <c r="BD26" s="172">
        <f t="shared" si="12"/>
        <v>16796.64</v>
      </c>
      <c r="BE26" s="173">
        <f t="shared" si="13"/>
        <v>8241.19</v>
      </c>
      <c r="BF26" s="170">
        <v>3401</v>
      </c>
      <c r="BG26" s="168">
        <v>0</v>
      </c>
      <c r="BH26" s="168">
        <v>0</v>
      </c>
      <c r="BI26" s="174">
        <v>3156.96</v>
      </c>
      <c r="BJ26" s="168">
        <f t="shared" si="14"/>
        <v>-3156.96</v>
      </c>
      <c r="BK26" s="168">
        <v>4580</v>
      </c>
      <c r="BL26" s="168">
        <v>5897.41</v>
      </c>
      <c r="BM26" s="168">
        <v>5544.2617473643695</v>
      </c>
      <c r="BN26" s="171">
        <v>1942.4</v>
      </c>
      <c r="BO26" s="168">
        <f t="shared" si="15"/>
        <v>3601.86</v>
      </c>
      <c r="BP26" s="175">
        <v>2668</v>
      </c>
      <c r="BQ26" s="175">
        <v>0</v>
      </c>
      <c r="BR26" s="248">
        <v>0</v>
      </c>
      <c r="BS26" s="247">
        <v>3004.54</v>
      </c>
      <c r="BT26" s="175">
        <f t="shared" si="16"/>
        <v>-3004.54</v>
      </c>
      <c r="BU26" s="175">
        <v>2877</v>
      </c>
      <c r="BV26" s="175">
        <v>2362.4700000000003</v>
      </c>
      <c r="BW26" s="248">
        <v>2035.89</v>
      </c>
      <c r="BX26" s="247">
        <v>2054.92</v>
      </c>
      <c r="BY26" s="175">
        <f t="shared" si="17"/>
        <v>-19.03</v>
      </c>
      <c r="BZ26" s="176">
        <f t="shared" si="18"/>
        <v>13526</v>
      </c>
      <c r="CA26" s="176">
        <f t="shared" si="18"/>
        <v>8259.880000000001</v>
      </c>
      <c r="CB26" s="176">
        <f t="shared" si="18"/>
        <v>7580.1517473643698</v>
      </c>
      <c r="CC26" s="176">
        <f t="shared" si="18"/>
        <v>10158.82</v>
      </c>
      <c r="CD26" s="177">
        <f t="shared" si="19"/>
        <v>-2578.67</v>
      </c>
      <c r="CE26" s="170">
        <v>3062</v>
      </c>
      <c r="CF26" s="168">
        <v>6738.65</v>
      </c>
      <c r="CG26" s="168">
        <v>5873.4</v>
      </c>
      <c r="CH26" s="174">
        <v>4601.53</v>
      </c>
      <c r="CI26" s="168">
        <f t="shared" si="20"/>
        <v>1271.8699999999999</v>
      </c>
      <c r="CJ26" s="168"/>
      <c r="CK26" s="168"/>
      <c r="CL26" s="168"/>
      <c r="CM26" s="171"/>
      <c r="CN26" s="168">
        <f t="shared" si="21"/>
        <v>0</v>
      </c>
      <c r="CO26" s="175"/>
      <c r="CP26" s="175"/>
      <c r="CQ26" s="248"/>
      <c r="CR26" s="247"/>
      <c r="CS26" s="175">
        <f t="shared" si="22"/>
        <v>0</v>
      </c>
      <c r="CT26" s="175"/>
      <c r="CU26" s="175"/>
      <c r="CV26" s="248"/>
      <c r="CW26" s="247"/>
      <c r="CX26" s="175">
        <f t="shared" si="23"/>
        <v>0</v>
      </c>
      <c r="CY26" s="176">
        <f t="shared" si="24"/>
        <v>3062</v>
      </c>
      <c r="CZ26" s="176">
        <f t="shared" si="25"/>
        <v>6738.65</v>
      </c>
      <c r="DA26" s="176">
        <f t="shared" si="34"/>
        <v>5873.4</v>
      </c>
      <c r="DB26" s="176">
        <f t="shared" si="27"/>
        <v>4601.53</v>
      </c>
      <c r="DC26" s="177">
        <f t="shared" si="28"/>
        <v>1271.8699999999999</v>
      </c>
      <c r="DD26" s="178">
        <f t="shared" si="29"/>
        <v>49892.46</v>
      </c>
      <c r="DE26" s="176">
        <f t="shared" si="30"/>
        <v>55435.949005000009</v>
      </c>
      <c r="DF26" s="176">
        <f t="shared" si="31"/>
        <v>53613.766633650011</v>
      </c>
      <c r="DG26" s="176">
        <f t="shared" si="32"/>
        <v>51837.829999999994</v>
      </c>
      <c r="DH26" s="177">
        <f t="shared" si="33"/>
        <v>1775.94</v>
      </c>
    </row>
    <row r="27" spans="1:112" x14ac:dyDescent="0.3">
      <c r="A27" s="97" t="s">
        <v>38</v>
      </c>
      <c r="B27" s="115">
        <v>2</v>
      </c>
      <c r="C27" s="166">
        <v>12630</v>
      </c>
      <c r="D27" s="167">
        <v>12471.67</v>
      </c>
      <c r="E27" s="168">
        <v>12471.67</v>
      </c>
      <c r="F27" s="168">
        <v>6914.42</v>
      </c>
      <c r="G27" s="169">
        <f t="shared" si="2"/>
        <v>5557.25</v>
      </c>
      <c r="H27" s="170">
        <v>8494</v>
      </c>
      <c r="I27" s="168">
        <v>8052.98</v>
      </c>
      <c r="J27" s="168">
        <v>8052.9842151599996</v>
      </c>
      <c r="K27" s="168">
        <v>4555.54</v>
      </c>
      <c r="L27" s="171">
        <f t="shared" si="0"/>
        <v>3497.44</v>
      </c>
      <c r="M27" s="168">
        <v>6900</v>
      </c>
      <c r="N27" s="168">
        <v>1342.75</v>
      </c>
      <c r="O27" s="259">
        <v>0</v>
      </c>
      <c r="P27" s="168">
        <v>5489.95</v>
      </c>
      <c r="Q27" s="171">
        <f t="shared" si="3"/>
        <v>-5489.95</v>
      </c>
      <c r="R27" s="168">
        <v>0</v>
      </c>
      <c r="S27" s="168">
        <v>0</v>
      </c>
      <c r="T27" s="168">
        <v>0</v>
      </c>
      <c r="U27" s="168">
        <v>6115.25</v>
      </c>
      <c r="V27" s="171">
        <f t="shared" si="4"/>
        <v>-6115.25</v>
      </c>
      <c r="W27" s="168">
        <v>5500</v>
      </c>
      <c r="X27" s="168">
        <v>5395.5</v>
      </c>
      <c r="Y27" s="168">
        <v>5395.5</v>
      </c>
      <c r="Z27" s="168">
        <v>7385.07</v>
      </c>
      <c r="AA27" s="171">
        <f t="shared" si="5"/>
        <v>-1989.57</v>
      </c>
      <c r="AB27" s="172">
        <f t="shared" si="6"/>
        <v>20894</v>
      </c>
      <c r="AC27" s="172">
        <f t="shared" si="6"/>
        <v>14791.23</v>
      </c>
      <c r="AD27" s="172">
        <f t="shared" si="6"/>
        <v>13448.484215159999</v>
      </c>
      <c r="AE27" s="172">
        <f t="shared" si="6"/>
        <v>23545.809999999998</v>
      </c>
      <c r="AF27" s="173">
        <f t="shared" si="7"/>
        <v>-10097.33</v>
      </c>
      <c r="AG27" s="170">
        <v>4960</v>
      </c>
      <c r="AH27" s="168">
        <v>7510.51</v>
      </c>
      <c r="AI27" s="168">
        <v>7510.51</v>
      </c>
      <c r="AJ27" s="168">
        <v>6030.0400000000009</v>
      </c>
      <c r="AK27" s="171">
        <f t="shared" si="8"/>
        <v>1480.47</v>
      </c>
      <c r="AL27" s="168">
        <v>5500</v>
      </c>
      <c r="AM27" s="168">
        <v>7489.57</v>
      </c>
      <c r="AN27" s="168">
        <v>7489.57</v>
      </c>
      <c r="AO27" s="168">
        <v>11077.66</v>
      </c>
      <c r="AP27" s="171">
        <f t="shared" si="9"/>
        <v>-3588.09</v>
      </c>
      <c r="AQ27" s="168">
        <v>8675</v>
      </c>
      <c r="AR27" s="168">
        <v>15322.7</v>
      </c>
      <c r="AS27" s="168">
        <v>15167.105397469852</v>
      </c>
      <c r="AT27" s="168">
        <v>10123.33</v>
      </c>
      <c r="AU27" s="171">
        <f t="shared" si="10"/>
        <v>5043.78</v>
      </c>
      <c r="AV27" s="168">
        <v>9275</v>
      </c>
      <c r="AW27" s="168">
        <v>9430.59</v>
      </c>
      <c r="AX27" s="168">
        <v>9078.92</v>
      </c>
      <c r="AY27" s="171">
        <v>12576.1</v>
      </c>
      <c r="AZ27" s="171">
        <f t="shared" si="11"/>
        <v>-3497.18</v>
      </c>
      <c r="BA27" s="172">
        <f t="shared" si="12"/>
        <v>28410</v>
      </c>
      <c r="BB27" s="172">
        <f t="shared" si="12"/>
        <v>39753.369999999995</v>
      </c>
      <c r="BC27" s="172">
        <f t="shared" si="12"/>
        <v>39246.105397469852</v>
      </c>
      <c r="BD27" s="172">
        <f t="shared" si="12"/>
        <v>39807.129999999997</v>
      </c>
      <c r="BE27" s="173">
        <f t="shared" si="13"/>
        <v>-561.02</v>
      </c>
      <c r="BF27" s="170">
        <v>7700</v>
      </c>
      <c r="BG27" s="168">
        <v>7955.69</v>
      </c>
      <c r="BH27" s="168">
        <v>7346.4806093808484</v>
      </c>
      <c r="BI27" s="174">
        <v>8727.77</v>
      </c>
      <c r="BJ27" s="168">
        <f t="shared" si="14"/>
        <v>-1381.29</v>
      </c>
      <c r="BK27" s="168">
        <v>9565</v>
      </c>
      <c r="BL27" s="168">
        <v>10921.22</v>
      </c>
      <c r="BM27" s="168">
        <v>10267.236342826884</v>
      </c>
      <c r="BN27" s="171">
        <v>9227.7099999999991</v>
      </c>
      <c r="BO27" s="168">
        <f t="shared" si="15"/>
        <v>1039.53</v>
      </c>
      <c r="BP27" s="175">
        <v>9535</v>
      </c>
      <c r="BQ27" s="175">
        <v>15070.15</v>
      </c>
      <c r="BR27" s="248">
        <v>14558.47</v>
      </c>
      <c r="BS27" s="247">
        <v>9561.1</v>
      </c>
      <c r="BT27" s="175">
        <f t="shared" si="16"/>
        <v>4997.37</v>
      </c>
      <c r="BU27" s="175">
        <v>9780</v>
      </c>
      <c r="BV27" s="175">
        <v>4520.42</v>
      </c>
      <c r="BW27" s="248">
        <v>3895.52</v>
      </c>
      <c r="BX27" s="247">
        <v>11208.82</v>
      </c>
      <c r="BY27" s="175">
        <f t="shared" si="17"/>
        <v>-7313.3</v>
      </c>
      <c r="BZ27" s="176">
        <f t="shared" si="18"/>
        <v>36580</v>
      </c>
      <c r="CA27" s="176">
        <f t="shared" si="18"/>
        <v>38467.479999999996</v>
      </c>
      <c r="CB27" s="176">
        <f t="shared" si="18"/>
        <v>36067.706952207729</v>
      </c>
      <c r="CC27" s="176">
        <f t="shared" si="18"/>
        <v>38725.4</v>
      </c>
      <c r="CD27" s="177">
        <f t="shared" si="19"/>
        <v>-2657.69</v>
      </c>
      <c r="CE27" s="170">
        <v>9350</v>
      </c>
      <c r="CF27" s="168">
        <v>10621.52</v>
      </c>
      <c r="CG27" s="168">
        <v>9257.7099999999991</v>
      </c>
      <c r="CH27" s="174">
        <v>10456.66</v>
      </c>
      <c r="CI27" s="168">
        <f t="shared" si="20"/>
        <v>-1198.95</v>
      </c>
      <c r="CJ27" s="168"/>
      <c r="CK27" s="168"/>
      <c r="CL27" s="168"/>
      <c r="CM27" s="171"/>
      <c r="CN27" s="168">
        <f t="shared" si="21"/>
        <v>0</v>
      </c>
      <c r="CO27" s="175"/>
      <c r="CP27" s="175"/>
      <c r="CQ27" s="248"/>
      <c r="CR27" s="247"/>
      <c r="CS27" s="175">
        <f t="shared" si="22"/>
        <v>0</v>
      </c>
      <c r="CT27" s="175"/>
      <c r="CU27" s="175"/>
      <c r="CV27" s="248"/>
      <c r="CW27" s="247"/>
      <c r="CX27" s="175">
        <f t="shared" si="23"/>
        <v>0</v>
      </c>
      <c r="CY27" s="176">
        <f t="shared" si="24"/>
        <v>9350</v>
      </c>
      <c r="CZ27" s="176">
        <f t="shared" si="25"/>
        <v>10621.52</v>
      </c>
      <c r="DA27" s="176">
        <f t="shared" si="34"/>
        <v>9257.7099999999991</v>
      </c>
      <c r="DB27" s="176">
        <f t="shared" si="27"/>
        <v>10456.66</v>
      </c>
      <c r="DC27" s="177">
        <f t="shared" si="28"/>
        <v>-1198.95</v>
      </c>
      <c r="DD27" s="178">
        <f t="shared" si="29"/>
        <v>107864</v>
      </c>
      <c r="DE27" s="176">
        <f t="shared" si="30"/>
        <v>116105.26999999999</v>
      </c>
      <c r="DF27" s="176">
        <f t="shared" si="31"/>
        <v>110491.67656483757</v>
      </c>
      <c r="DG27" s="176">
        <f t="shared" si="32"/>
        <v>119449.41999999998</v>
      </c>
      <c r="DH27" s="177">
        <f t="shared" si="33"/>
        <v>-8957.74</v>
      </c>
    </row>
    <row r="28" spans="1:112" x14ac:dyDescent="0.3">
      <c r="A28" s="97" t="s">
        <v>39</v>
      </c>
      <c r="B28" s="115">
        <v>3</v>
      </c>
      <c r="C28" s="166">
        <v>11382.5</v>
      </c>
      <c r="D28" s="167">
        <v>11239.81</v>
      </c>
      <c r="E28" s="168">
        <v>11239.81</v>
      </c>
      <c r="F28" s="168">
        <v>11384.95</v>
      </c>
      <c r="G28" s="169">
        <f t="shared" si="2"/>
        <v>-145.13999999999999</v>
      </c>
      <c r="H28" s="170">
        <v>12207.5</v>
      </c>
      <c r="I28" s="168">
        <v>11573.68</v>
      </c>
      <c r="J28" s="168">
        <v>11573.67610155</v>
      </c>
      <c r="K28" s="168">
        <v>8422.119999999999</v>
      </c>
      <c r="L28" s="171">
        <f t="shared" si="0"/>
        <v>3151.56</v>
      </c>
      <c r="M28" s="168">
        <v>12532.5</v>
      </c>
      <c r="N28" s="168">
        <v>12532.5</v>
      </c>
      <c r="O28" s="168">
        <v>12532.5</v>
      </c>
      <c r="P28" s="168">
        <v>10350.959999999999</v>
      </c>
      <c r="Q28" s="171">
        <f t="shared" si="3"/>
        <v>2181.54</v>
      </c>
      <c r="R28" s="168">
        <v>12532.5</v>
      </c>
      <c r="S28" s="168">
        <v>8034.9267600000012</v>
      </c>
      <c r="T28" s="168">
        <v>8034.9267600000012</v>
      </c>
      <c r="U28" s="168">
        <v>13151.810000000001</v>
      </c>
      <c r="V28" s="171">
        <f t="shared" si="4"/>
        <v>-5116.88</v>
      </c>
      <c r="W28" s="168">
        <v>12105</v>
      </c>
      <c r="X28" s="168">
        <v>11875</v>
      </c>
      <c r="Y28" s="168">
        <v>11875</v>
      </c>
      <c r="Z28" s="168">
        <v>16319.01</v>
      </c>
      <c r="AA28" s="171">
        <f t="shared" si="5"/>
        <v>-4444.01</v>
      </c>
      <c r="AB28" s="172">
        <f t="shared" si="6"/>
        <v>49377.5</v>
      </c>
      <c r="AC28" s="172">
        <f t="shared" si="6"/>
        <v>44016.106760000002</v>
      </c>
      <c r="AD28" s="172">
        <f t="shared" si="6"/>
        <v>44016.102861550004</v>
      </c>
      <c r="AE28" s="172">
        <f t="shared" si="6"/>
        <v>48243.9</v>
      </c>
      <c r="AF28" s="173">
        <f t="shared" si="7"/>
        <v>-4227.8</v>
      </c>
      <c r="AG28" s="170">
        <v>12405</v>
      </c>
      <c r="AH28" s="168">
        <v>12333.92</v>
      </c>
      <c r="AI28" s="168">
        <v>12333.92</v>
      </c>
      <c r="AJ28" s="168">
        <v>14932.32</v>
      </c>
      <c r="AK28" s="171">
        <f t="shared" si="8"/>
        <v>-2598.4</v>
      </c>
      <c r="AL28" s="168">
        <v>12405</v>
      </c>
      <c r="AM28" s="168">
        <v>16866.89</v>
      </c>
      <c r="AN28" s="168">
        <v>16866.89</v>
      </c>
      <c r="AO28" s="168">
        <v>15180.75</v>
      </c>
      <c r="AP28" s="171">
        <f t="shared" si="9"/>
        <v>1686.14</v>
      </c>
      <c r="AQ28" s="168">
        <v>16000</v>
      </c>
      <c r="AR28" s="168">
        <v>22530.19</v>
      </c>
      <c r="AS28" s="168">
        <v>22301.406824842961</v>
      </c>
      <c r="AT28" s="168">
        <v>17594.919999999998</v>
      </c>
      <c r="AU28" s="171">
        <f t="shared" si="10"/>
        <v>4706.49</v>
      </c>
      <c r="AV28" s="168">
        <v>15610</v>
      </c>
      <c r="AW28" s="168">
        <v>15221.02</v>
      </c>
      <c r="AX28" s="168">
        <v>14653.42</v>
      </c>
      <c r="AY28" s="171">
        <v>18128.13</v>
      </c>
      <c r="AZ28" s="171">
        <f t="shared" si="11"/>
        <v>-3474.71</v>
      </c>
      <c r="BA28" s="172">
        <f t="shared" si="12"/>
        <v>56420</v>
      </c>
      <c r="BB28" s="172">
        <f t="shared" si="12"/>
        <v>66952.02</v>
      </c>
      <c r="BC28" s="172">
        <f t="shared" si="12"/>
        <v>66155.636824842964</v>
      </c>
      <c r="BD28" s="172">
        <f t="shared" si="12"/>
        <v>65836.12</v>
      </c>
      <c r="BE28" s="173">
        <f t="shared" si="13"/>
        <v>319.52</v>
      </c>
      <c r="BF28" s="170">
        <v>15529</v>
      </c>
      <c r="BG28" s="168">
        <v>13691.630000000001</v>
      </c>
      <c r="BH28" s="168">
        <v>12643.189252700535</v>
      </c>
      <c r="BI28" s="174">
        <v>14723.619999999999</v>
      </c>
      <c r="BJ28" s="168">
        <f t="shared" si="14"/>
        <v>-2080.4299999999998</v>
      </c>
      <c r="BK28" s="168">
        <v>16925</v>
      </c>
      <c r="BL28" s="168">
        <v>23276.07</v>
      </c>
      <c r="BM28" s="168">
        <v>21882.254164111935</v>
      </c>
      <c r="BN28" s="171">
        <v>15167.92</v>
      </c>
      <c r="BO28" s="168">
        <f t="shared" si="15"/>
        <v>6714.33</v>
      </c>
      <c r="BP28" s="175">
        <v>15475</v>
      </c>
      <c r="BQ28" s="175">
        <v>12574.77</v>
      </c>
      <c r="BR28" s="248">
        <v>12147.82</v>
      </c>
      <c r="BS28" s="247">
        <v>12405.240000000002</v>
      </c>
      <c r="BT28" s="175">
        <f t="shared" si="16"/>
        <v>-257.42</v>
      </c>
      <c r="BU28" s="175">
        <v>14460</v>
      </c>
      <c r="BV28" s="175">
        <v>10057.85</v>
      </c>
      <c r="BW28" s="248">
        <v>8667.4699999999993</v>
      </c>
      <c r="BX28" s="247">
        <v>13333.92</v>
      </c>
      <c r="BY28" s="175">
        <f t="shared" si="17"/>
        <v>-4666.45</v>
      </c>
      <c r="BZ28" s="176">
        <f t="shared" si="18"/>
        <v>62389</v>
      </c>
      <c r="CA28" s="176">
        <f t="shared" si="18"/>
        <v>59600.32</v>
      </c>
      <c r="CB28" s="176">
        <f t="shared" si="18"/>
        <v>55340.733416812473</v>
      </c>
      <c r="CC28" s="176">
        <f t="shared" si="18"/>
        <v>55630.7</v>
      </c>
      <c r="CD28" s="177">
        <f t="shared" si="19"/>
        <v>-289.97000000000003</v>
      </c>
      <c r="CE28" s="170">
        <v>14235</v>
      </c>
      <c r="CF28" s="168">
        <v>20505.260000000002</v>
      </c>
      <c r="CG28" s="168">
        <v>17872.37</v>
      </c>
      <c r="CH28" s="174">
        <v>13739.71</v>
      </c>
      <c r="CI28" s="168">
        <f t="shared" si="20"/>
        <v>4132.66</v>
      </c>
      <c r="CJ28" s="168"/>
      <c r="CK28" s="168"/>
      <c r="CL28" s="168"/>
      <c r="CM28" s="171"/>
      <c r="CN28" s="168">
        <f t="shared" si="21"/>
        <v>0</v>
      </c>
      <c r="CO28" s="175"/>
      <c r="CP28" s="175"/>
      <c r="CQ28" s="248"/>
      <c r="CR28" s="247"/>
      <c r="CS28" s="175">
        <f t="shared" si="22"/>
        <v>0</v>
      </c>
      <c r="CT28" s="175"/>
      <c r="CU28" s="175"/>
      <c r="CV28" s="248"/>
      <c r="CW28" s="247"/>
      <c r="CX28" s="175">
        <f t="shared" si="23"/>
        <v>0</v>
      </c>
      <c r="CY28" s="176">
        <f t="shared" si="24"/>
        <v>14235</v>
      </c>
      <c r="CZ28" s="176">
        <f t="shared" si="25"/>
        <v>20505.260000000002</v>
      </c>
      <c r="DA28" s="176">
        <f t="shared" si="34"/>
        <v>17872.37</v>
      </c>
      <c r="DB28" s="176">
        <f t="shared" si="27"/>
        <v>13739.71</v>
      </c>
      <c r="DC28" s="177">
        <f t="shared" si="28"/>
        <v>4132.66</v>
      </c>
      <c r="DD28" s="178">
        <f t="shared" si="29"/>
        <v>193804</v>
      </c>
      <c r="DE28" s="176">
        <f t="shared" si="30"/>
        <v>202313.51676000003</v>
      </c>
      <c r="DF28" s="176">
        <f t="shared" si="31"/>
        <v>194624.65310320543</v>
      </c>
      <c r="DG28" s="176">
        <f t="shared" si="32"/>
        <v>194835.37999999998</v>
      </c>
      <c r="DH28" s="177">
        <f t="shared" si="33"/>
        <v>-210.73</v>
      </c>
    </row>
    <row r="29" spans="1:112" x14ac:dyDescent="0.3">
      <c r="A29" s="97" t="s">
        <v>40</v>
      </c>
      <c r="B29" s="115">
        <v>4</v>
      </c>
      <c r="C29" s="166">
        <v>33791.399999999994</v>
      </c>
      <c r="D29" s="167">
        <v>33367.800000000003</v>
      </c>
      <c r="E29" s="168">
        <v>33367.800000000003</v>
      </c>
      <c r="F29" s="168">
        <v>40777.31</v>
      </c>
      <c r="G29" s="169">
        <f t="shared" si="2"/>
        <v>-7409.51</v>
      </c>
      <c r="H29" s="170">
        <v>33165.56</v>
      </c>
      <c r="I29" s="168">
        <v>31443.58</v>
      </c>
      <c r="J29" s="168">
        <v>31443.575602418397</v>
      </c>
      <c r="K29" s="168">
        <v>31912.91</v>
      </c>
      <c r="L29" s="171">
        <f t="shared" si="0"/>
        <v>-469.33</v>
      </c>
      <c r="M29" s="168">
        <v>36924</v>
      </c>
      <c r="N29" s="168">
        <v>36924</v>
      </c>
      <c r="O29" s="168">
        <v>36924</v>
      </c>
      <c r="P29" s="168">
        <v>45683.520000000004</v>
      </c>
      <c r="Q29" s="171">
        <f t="shared" si="3"/>
        <v>-8759.52</v>
      </c>
      <c r="R29" s="168">
        <v>41580</v>
      </c>
      <c r="S29" s="168">
        <v>63749.104200000002</v>
      </c>
      <c r="T29" s="168">
        <v>63749.104200000002</v>
      </c>
      <c r="U29" s="168">
        <v>39315.5</v>
      </c>
      <c r="V29" s="171">
        <f t="shared" si="4"/>
        <v>24433.599999999999</v>
      </c>
      <c r="W29" s="168">
        <v>41692.58</v>
      </c>
      <c r="X29" s="168">
        <v>40900.42</v>
      </c>
      <c r="Y29" s="168">
        <v>40900.42</v>
      </c>
      <c r="Z29" s="168">
        <v>37677.97</v>
      </c>
      <c r="AA29" s="171">
        <f t="shared" si="5"/>
        <v>3222.45</v>
      </c>
      <c r="AB29" s="172">
        <f t="shared" si="6"/>
        <v>153362.14000000001</v>
      </c>
      <c r="AC29" s="172">
        <f t="shared" si="6"/>
        <v>173017.1042</v>
      </c>
      <c r="AD29" s="172">
        <f t="shared" si="6"/>
        <v>173017.09980241838</v>
      </c>
      <c r="AE29" s="172">
        <f t="shared" si="6"/>
        <v>154589.90000000002</v>
      </c>
      <c r="AF29" s="173">
        <f t="shared" si="7"/>
        <v>18427.2</v>
      </c>
      <c r="AG29" s="170">
        <v>30310</v>
      </c>
      <c r="AH29" s="168">
        <v>22514.760000000002</v>
      </c>
      <c r="AI29" s="168">
        <v>22514.760000000002</v>
      </c>
      <c r="AJ29" s="168">
        <v>34666.43</v>
      </c>
      <c r="AK29" s="171">
        <f t="shared" si="8"/>
        <v>-12151.67</v>
      </c>
      <c r="AL29" s="168">
        <v>34250</v>
      </c>
      <c r="AM29" s="168">
        <v>31027.55</v>
      </c>
      <c r="AN29" s="168">
        <v>31027.55</v>
      </c>
      <c r="AO29" s="168">
        <v>36543.040000000001</v>
      </c>
      <c r="AP29" s="171">
        <f t="shared" si="9"/>
        <v>-5515.49</v>
      </c>
      <c r="AQ29" s="168">
        <v>42350</v>
      </c>
      <c r="AR29" s="168">
        <v>48999.47</v>
      </c>
      <c r="AS29" s="168">
        <v>48501.904097199716</v>
      </c>
      <c r="AT29" s="168">
        <v>38175.599999999999</v>
      </c>
      <c r="AU29" s="171">
        <f t="shared" si="10"/>
        <v>10326.299999999999</v>
      </c>
      <c r="AV29" s="168">
        <v>38205</v>
      </c>
      <c r="AW29" s="168">
        <v>38205</v>
      </c>
      <c r="AX29" s="168">
        <v>36780.31</v>
      </c>
      <c r="AY29" s="171">
        <v>49574.71</v>
      </c>
      <c r="AZ29" s="171">
        <f t="shared" si="11"/>
        <v>-12794.4</v>
      </c>
      <c r="BA29" s="172">
        <f t="shared" si="12"/>
        <v>145115</v>
      </c>
      <c r="BB29" s="172">
        <f t="shared" si="12"/>
        <v>140746.78</v>
      </c>
      <c r="BC29" s="172">
        <f t="shared" si="12"/>
        <v>138824.52409719973</v>
      </c>
      <c r="BD29" s="172">
        <f t="shared" si="12"/>
        <v>158959.78</v>
      </c>
      <c r="BE29" s="173">
        <f t="shared" si="13"/>
        <v>-20135.259999999998</v>
      </c>
      <c r="BF29" s="170">
        <v>35184</v>
      </c>
      <c r="BG29" s="168">
        <v>26282.39</v>
      </c>
      <c r="BH29" s="168">
        <v>24269.807961746261</v>
      </c>
      <c r="BI29" s="174">
        <v>34111.42</v>
      </c>
      <c r="BJ29" s="168">
        <f t="shared" si="14"/>
        <v>-9841.61</v>
      </c>
      <c r="BK29" s="168">
        <v>36910</v>
      </c>
      <c r="BL29" s="168">
        <v>61159.119999999995</v>
      </c>
      <c r="BM29" s="168">
        <v>57496.794273836669</v>
      </c>
      <c r="BN29" s="171">
        <v>36794.990000000005</v>
      </c>
      <c r="BO29" s="168">
        <f t="shared" si="15"/>
        <v>20701.8</v>
      </c>
      <c r="BP29" s="175">
        <v>40250</v>
      </c>
      <c r="BQ29" s="175">
        <v>31504.82</v>
      </c>
      <c r="BR29" s="248">
        <v>30435.14</v>
      </c>
      <c r="BS29" s="247">
        <v>41381.71</v>
      </c>
      <c r="BT29" s="175">
        <f t="shared" si="16"/>
        <v>-10946.57</v>
      </c>
      <c r="BU29" s="175">
        <v>47630</v>
      </c>
      <c r="BV29" s="175">
        <v>45887.38</v>
      </c>
      <c r="BW29" s="248">
        <v>39543.97</v>
      </c>
      <c r="BX29" s="247">
        <v>44646.080000000002</v>
      </c>
      <c r="BY29" s="175">
        <f t="shared" si="17"/>
        <v>-5102.1099999999997</v>
      </c>
      <c r="BZ29" s="176">
        <f t="shared" si="18"/>
        <v>159974</v>
      </c>
      <c r="CA29" s="176">
        <f t="shared" si="18"/>
        <v>164833.71</v>
      </c>
      <c r="CB29" s="176">
        <f t="shared" si="18"/>
        <v>151745.71223558293</v>
      </c>
      <c r="CC29" s="176">
        <f t="shared" si="18"/>
        <v>156934.20000000001</v>
      </c>
      <c r="CD29" s="177">
        <f t="shared" si="19"/>
        <v>-5188.49</v>
      </c>
      <c r="CE29" s="170">
        <v>37676</v>
      </c>
      <c r="CF29" s="168">
        <v>48622.57</v>
      </c>
      <c r="CG29" s="168">
        <v>42379.39</v>
      </c>
      <c r="CH29" s="174">
        <v>34283.68</v>
      </c>
      <c r="CI29" s="168">
        <f t="shared" si="20"/>
        <v>8095.71</v>
      </c>
      <c r="CJ29" s="168"/>
      <c r="CK29" s="168"/>
      <c r="CL29" s="168"/>
      <c r="CM29" s="171"/>
      <c r="CN29" s="168">
        <f t="shared" si="21"/>
        <v>0</v>
      </c>
      <c r="CO29" s="175"/>
      <c r="CP29" s="175"/>
      <c r="CQ29" s="248"/>
      <c r="CR29" s="247"/>
      <c r="CS29" s="175">
        <f t="shared" si="22"/>
        <v>0</v>
      </c>
      <c r="CT29" s="175"/>
      <c r="CU29" s="175"/>
      <c r="CV29" s="248"/>
      <c r="CW29" s="247"/>
      <c r="CX29" s="175">
        <f t="shared" si="23"/>
        <v>0</v>
      </c>
      <c r="CY29" s="176">
        <f t="shared" si="24"/>
        <v>37676</v>
      </c>
      <c r="CZ29" s="176">
        <f t="shared" si="25"/>
        <v>48622.57</v>
      </c>
      <c r="DA29" s="176">
        <f t="shared" si="34"/>
        <v>42379.39</v>
      </c>
      <c r="DB29" s="176">
        <f t="shared" si="27"/>
        <v>34283.68</v>
      </c>
      <c r="DC29" s="177">
        <f t="shared" si="28"/>
        <v>8095.71</v>
      </c>
      <c r="DD29" s="178">
        <f t="shared" si="29"/>
        <v>529918.54</v>
      </c>
      <c r="DE29" s="176">
        <f t="shared" si="30"/>
        <v>560587.96419999993</v>
      </c>
      <c r="DF29" s="176">
        <f t="shared" si="31"/>
        <v>539334.52613520098</v>
      </c>
      <c r="DG29" s="176">
        <f t="shared" si="32"/>
        <v>545544.87</v>
      </c>
      <c r="DH29" s="177">
        <f t="shared" si="33"/>
        <v>-6210.34</v>
      </c>
    </row>
    <row r="30" spans="1:112" x14ac:dyDescent="0.3">
      <c r="A30" s="97" t="s">
        <v>41</v>
      </c>
      <c r="B30" s="115">
        <v>7</v>
      </c>
      <c r="C30" s="166">
        <v>22412.77</v>
      </c>
      <c r="D30" s="167">
        <v>22131.81</v>
      </c>
      <c r="E30" s="168">
        <v>22131.81</v>
      </c>
      <c r="F30" s="168">
        <v>30185.480000000003</v>
      </c>
      <c r="G30" s="169">
        <f t="shared" si="2"/>
        <v>-8053.67</v>
      </c>
      <c r="H30" s="170">
        <v>29900</v>
      </c>
      <c r="I30" s="168">
        <v>28347.57</v>
      </c>
      <c r="J30" s="168">
        <v>28347.566286000001</v>
      </c>
      <c r="K30" s="168">
        <v>27556.880000000001</v>
      </c>
      <c r="L30" s="171">
        <f t="shared" si="0"/>
        <v>790.69</v>
      </c>
      <c r="M30" s="168">
        <v>20660</v>
      </c>
      <c r="N30" s="168">
        <v>20660</v>
      </c>
      <c r="O30" s="168">
        <v>20660</v>
      </c>
      <c r="P30" s="168">
        <v>27994.51</v>
      </c>
      <c r="Q30" s="171">
        <f t="shared" si="3"/>
        <v>-7334.51</v>
      </c>
      <c r="R30" s="168">
        <v>18380</v>
      </c>
      <c r="S30" s="168">
        <v>36110.351549999992</v>
      </c>
      <c r="T30" s="168">
        <v>36110.351549999992</v>
      </c>
      <c r="U30" s="168">
        <v>17647.54</v>
      </c>
      <c r="V30" s="171">
        <f t="shared" si="4"/>
        <v>18462.810000000001</v>
      </c>
      <c r="W30" s="168">
        <v>22140</v>
      </c>
      <c r="X30" s="168">
        <v>21719.34</v>
      </c>
      <c r="Y30" s="168">
        <v>21719.34</v>
      </c>
      <c r="Z30" s="168">
        <v>26467.95</v>
      </c>
      <c r="AA30" s="171">
        <f t="shared" si="5"/>
        <v>-4748.6099999999997</v>
      </c>
      <c r="AB30" s="172">
        <f t="shared" si="6"/>
        <v>91080</v>
      </c>
      <c r="AC30" s="172">
        <f t="shared" si="6"/>
        <v>106837.26155</v>
      </c>
      <c r="AD30" s="172">
        <f t="shared" si="6"/>
        <v>106837.25783599999</v>
      </c>
      <c r="AE30" s="172">
        <f t="shared" si="6"/>
        <v>99666.87999999999</v>
      </c>
      <c r="AF30" s="173">
        <f t="shared" si="7"/>
        <v>7170.38</v>
      </c>
      <c r="AG30" s="170">
        <v>21610</v>
      </c>
      <c r="AH30" s="168">
        <v>17744.68</v>
      </c>
      <c r="AI30" s="168">
        <v>17744.68</v>
      </c>
      <c r="AJ30" s="168">
        <v>14970.080000000002</v>
      </c>
      <c r="AK30" s="171">
        <f t="shared" si="8"/>
        <v>2774.6</v>
      </c>
      <c r="AL30" s="168">
        <v>20310</v>
      </c>
      <c r="AM30" s="168">
        <v>25058.61</v>
      </c>
      <c r="AN30" s="168">
        <v>25058.61</v>
      </c>
      <c r="AO30" s="168">
        <v>19918.72</v>
      </c>
      <c r="AP30" s="171">
        <f t="shared" si="9"/>
        <v>5139.8900000000003</v>
      </c>
      <c r="AQ30" s="168">
        <v>21610</v>
      </c>
      <c r="AR30" s="168">
        <v>14578.8</v>
      </c>
      <c r="AS30" s="168">
        <v>14430.759341932782</v>
      </c>
      <c r="AT30" s="168">
        <v>18202.189999999999</v>
      </c>
      <c r="AU30" s="171">
        <f t="shared" si="10"/>
        <v>-3771.43</v>
      </c>
      <c r="AV30" s="168">
        <v>22410</v>
      </c>
      <c r="AW30" s="168">
        <v>22558.04</v>
      </c>
      <c r="AX30" s="168">
        <v>21716.84</v>
      </c>
      <c r="AY30" s="171">
        <v>27820.739999999998</v>
      </c>
      <c r="AZ30" s="171">
        <f t="shared" si="11"/>
        <v>-6103.9</v>
      </c>
      <c r="BA30" s="172">
        <f t="shared" si="12"/>
        <v>85940</v>
      </c>
      <c r="BB30" s="172">
        <f t="shared" si="12"/>
        <v>79940.13</v>
      </c>
      <c r="BC30" s="172">
        <f t="shared" si="12"/>
        <v>78950.88934193278</v>
      </c>
      <c r="BD30" s="172">
        <f t="shared" si="12"/>
        <v>80911.73000000001</v>
      </c>
      <c r="BE30" s="173">
        <f t="shared" si="13"/>
        <v>-1960.84</v>
      </c>
      <c r="BF30" s="170">
        <v>20810</v>
      </c>
      <c r="BG30" s="168">
        <v>25274.59</v>
      </c>
      <c r="BH30" s="168">
        <v>23339.180554427221</v>
      </c>
      <c r="BI30" s="174">
        <v>16044.86</v>
      </c>
      <c r="BJ30" s="168">
        <f t="shared" si="14"/>
        <v>7294.32</v>
      </c>
      <c r="BK30" s="168">
        <v>21510</v>
      </c>
      <c r="BL30" s="168">
        <v>25084.720000000001</v>
      </c>
      <c r="BM30" s="168">
        <v>23582.598723735664</v>
      </c>
      <c r="BN30" s="171">
        <v>19869.32</v>
      </c>
      <c r="BO30" s="168">
        <f t="shared" si="15"/>
        <v>3713.28</v>
      </c>
      <c r="BP30" s="175">
        <v>19485</v>
      </c>
      <c r="BQ30" s="175">
        <v>12962.21</v>
      </c>
      <c r="BR30" s="248">
        <v>12522.1</v>
      </c>
      <c r="BS30" s="247">
        <v>20618.48</v>
      </c>
      <c r="BT30" s="175">
        <f t="shared" si="16"/>
        <v>-8096.38</v>
      </c>
      <c r="BU30" s="175">
        <v>22400</v>
      </c>
      <c r="BV30" s="175">
        <v>25649.62</v>
      </c>
      <c r="BW30" s="248">
        <v>22103.85</v>
      </c>
      <c r="BX30" s="247">
        <v>24736.95</v>
      </c>
      <c r="BY30" s="175">
        <f t="shared" si="17"/>
        <v>-2633.1</v>
      </c>
      <c r="BZ30" s="176">
        <f t="shared" si="18"/>
        <v>84205</v>
      </c>
      <c r="CA30" s="176">
        <f t="shared" si="18"/>
        <v>88971.14</v>
      </c>
      <c r="CB30" s="176">
        <f t="shared" si="18"/>
        <v>81547.729278162878</v>
      </c>
      <c r="CC30" s="176">
        <f t="shared" si="18"/>
        <v>81269.61</v>
      </c>
      <c r="CD30" s="177">
        <f t="shared" si="19"/>
        <v>278.12</v>
      </c>
      <c r="CE30" s="170">
        <v>24115</v>
      </c>
      <c r="CF30" s="168">
        <v>32507.53</v>
      </c>
      <c r="CG30" s="168">
        <v>28333.53</v>
      </c>
      <c r="CH30" s="174">
        <v>21044.53</v>
      </c>
      <c r="CI30" s="168">
        <f t="shared" si="20"/>
        <v>7289</v>
      </c>
      <c r="CJ30" s="168"/>
      <c r="CK30" s="168"/>
      <c r="CL30" s="168"/>
      <c r="CM30" s="171"/>
      <c r="CN30" s="168">
        <f t="shared" si="21"/>
        <v>0</v>
      </c>
      <c r="CO30" s="175"/>
      <c r="CP30" s="175"/>
      <c r="CQ30" s="248"/>
      <c r="CR30" s="247"/>
      <c r="CS30" s="175">
        <f t="shared" si="22"/>
        <v>0</v>
      </c>
      <c r="CT30" s="175"/>
      <c r="CU30" s="175"/>
      <c r="CV30" s="248"/>
      <c r="CW30" s="247"/>
      <c r="CX30" s="175">
        <f t="shared" si="23"/>
        <v>0</v>
      </c>
      <c r="CY30" s="176">
        <f t="shared" si="24"/>
        <v>24115</v>
      </c>
      <c r="CZ30" s="176">
        <f t="shared" si="25"/>
        <v>32507.53</v>
      </c>
      <c r="DA30" s="176">
        <f t="shared" si="34"/>
        <v>28333.53</v>
      </c>
      <c r="DB30" s="176">
        <f t="shared" si="27"/>
        <v>21044.53</v>
      </c>
      <c r="DC30" s="177">
        <f t="shared" si="28"/>
        <v>7289</v>
      </c>
      <c r="DD30" s="178">
        <f t="shared" si="29"/>
        <v>307752.77</v>
      </c>
      <c r="DE30" s="176">
        <f t="shared" si="30"/>
        <v>330387.87155000004</v>
      </c>
      <c r="DF30" s="176">
        <f t="shared" si="31"/>
        <v>317801.21645609569</v>
      </c>
      <c r="DG30" s="176">
        <f t="shared" si="32"/>
        <v>313078.23</v>
      </c>
      <c r="DH30" s="177">
        <f t="shared" si="33"/>
        <v>4722.99</v>
      </c>
    </row>
    <row r="31" spans="1:112" x14ac:dyDescent="0.3">
      <c r="A31" s="97" t="s">
        <v>42</v>
      </c>
      <c r="B31" s="115">
        <v>5</v>
      </c>
      <c r="C31" s="166">
        <v>152703</v>
      </c>
      <c r="D31" s="167">
        <v>150788.75</v>
      </c>
      <c r="E31" s="168">
        <v>150788.75</v>
      </c>
      <c r="F31" s="168">
        <v>141295.32</v>
      </c>
      <c r="G31" s="169">
        <f t="shared" si="2"/>
        <v>9493.43</v>
      </c>
      <c r="H31" s="170">
        <v>157875</v>
      </c>
      <c r="I31" s="168">
        <v>149677.99</v>
      </c>
      <c r="J31" s="168">
        <v>149677.99422749999</v>
      </c>
      <c r="K31" s="168">
        <v>104120.93</v>
      </c>
      <c r="L31" s="171">
        <f t="shared" si="0"/>
        <v>45557.06</v>
      </c>
      <c r="M31" s="168">
        <v>114000</v>
      </c>
      <c r="N31" s="168">
        <v>104506.57</v>
      </c>
      <c r="O31" s="168">
        <v>104506.57</v>
      </c>
      <c r="P31" s="168">
        <v>132600.95000000001</v>
      </c>
      <c r="Q31" s="171">
        <f t="shared" si="3"/>
        <v>-28094.38</v>
      </c>
      <c r="R31" s="168">
        <v>127555</v>
      </c>
      <c r="S31" s="168">
        <v>110055.18565999999</v>
      </c>
      <c r="T31" s="168">
        <v>110055.18565999999</v>
      </c>
      <c r="U31" s="168">
        <v>138907.57</v>
      </c>
      <c r="V31" s="171">
        <f t="shared" si="4"/>
        <v>-28852.38</v>
      </c>
      <c r="W31" s="168">
        <v>120915</v>
      </c>
      <c r="X31" s="168">
        <v>118617.61</v>
      </c>
      <c r="Y31" s="168">
        <v>118617.61</v>
      </c>
      <c r="Z31" s="168">
        <v>132086.13</v>
      </c>
      <c r="AA31" s="171">
        <f t="shared" si="5"/>
        <v>-13468.52</v>
      </c>
      <c r="AB31" s="172">
        <f t="shared" si="6"/>
        <v>520345</v>
      </c>
      <c r="AC31" s="172">
        <f t="shared" si="6"/>
        <v>482857.35566</v>
      </c>
      <c r="AD31" s="172">
        <f t="shared" si="6"/>
        <v>482857.35988749994</v>
      </c>
      <c r="AE31" s="172">
        <f t="shared" si="6"/>
        <v>507715.58</v>
      </c>
      <c r="AF31" s="173">
        <f t="shared" si="7"/>
        <v>-24858.22</v>
      </c>
      <c r="AG31" s="170">
        <v>112300</v>
      </c>
      <c r="AH31" s="168">
        <v>114196.27</v>
      </c>
      <c r="AI31" s="168">
        <v>114196.27</v>
      </c>
      <c r="AJ31" s="168">
        <v>111650.19</v>
      </c>
      <c r="AK31" s="171">
        <f t="shared" si="8"/>
        <v>2546.08</v>
      </c>
      <c r="AL31" s="168">
        <v>131600</v>
      </c>
      <c r="AM31" s="168">
        <v>145068.51999999999</v>
      </c>
      <c r="AN31" s="168">
        <v>145068.51999999999</v>
      </c>
      <c r="AO31" s="168">
        <v>110296.70999999999</v>
      </c>
      <c r="AP31" s="171">
        <f t="shared" si="9"/>
        <v>34771.81</v>
      </c>
      <c r="AQ31" s="168">
        <v>133105</v>
      </c>
      <c r="AR31" s="168">
        <v>111151.9</v>
      </c>
      <c r="AS31" s="168">
        <v>110023.20625144584</v>
      </c>
      <c r="AT31" s="168">
        <v>123841</v>
      </c>
      <c r="AU31" s="171">
        <f t="shared" si="10"/>
        <v>-13817.79</v>
      </c>
      <c r="AV31" s="168">
        <v>122184</v>
      </c>
      <c r="AW31" s="168">
        <v>107261</v>
      </c>
      <c r="AX31" s="168">
        <v>103261.17</v>
      </c>
      <c r="AY31" s="171">
        <v>123463</v>
      </c>
      <c r="AZ31" s="171">
        <f t="shared" si="11"/>
        <v>-20201.830000000002</v>
      </c>
      <c r="BA31" s="172">
        <f t="shared" si="12"/>
        <v>499189</v>
      </c>
      <c r="BB31" s="172">
        <f t="shared" si="12"/>
        <v>477677.68999999994</v>
      </c>
      <c r="BC31" s="172">
        <f t="shared" si="12"/>
        <v>472549.16625144583</v>
      </c>
      <c r="BD31" s="172">
        <f t="shared" si="12"/>
        <v>469250.9</v>
      </c>
      <c r="BE31" s="173">
        <f t="shared" si="13"/>
        <v>3298.27</v>
      </c>
      <c r="BF31" s="170">
        <v>110255</v>
      </c>
      <c r="BG31" s="168">
        <v>141658</v>
      </c>
      <c r="BH31" s="168">
        <v>130810.49540186612</v>
      </c>
      <c r="BI31" s="174">
        <v>119003</v>
      </c>
      <c r="BJ31" s="168">
        <f t="shared" si="14"/>
        <v>11807.5</v>
      </c>
      <c r="BK31" s="168">
        <v>122935</v>
      </c>
      <c r="BL31" s="168">
        <v>121574</v>
      </c>
      <c r="BM31" s="168">
        <v>114293.91507018774</v>
      </c>
      <c r="BN31" s="171">
        <v>117611</v>
      </c>
      <c r="BO31" s="168">
        <f t="shared" si="15"/>
        <v>-3317.08</v>
      </c>
      <c r="BP31" s="175">
        <v>130000</v>
      </c>
      <c r="BQ31" s="175">
        <v>130259</v>
      </c>
      <c r="BR31" s="248">
        <v>125836.32</v>
      </c>
      <c r="BS31" s="247">
        <v>112179</v>
      </c>
      <c r="BT31" s="175">
        <f t="shared" si="16"/>
        <v>13657.32</v>
      </c>
      <c r="BU31" s="175">
        <v>129400</v>
      </c>
      <c r="BV31" s="175">
        <v>129140.97</v>
      </c>
      <c r="BW31" s="248">
        <v>111288.68</v>
      </c>
      <c r="BX31" s="247">
        <v>132345</v>
      </c>
      <c r="BY31" s="175">
        <f t="shared" si="17"/>
        <v>-21056.32</v>
      </c>
      <c r="BZ31" s="176">
        <f t="shared" si="18"/>
        <v>492590</v>
      </c>
      <c r="CA31" s="176">
        <f t="shared" si="18"/>
        <v>522631.97</v>
      </c>
      <c r="CB31" s="176">
        <f t="shared" si="18"/>
        <v>482229.41047205386</v>
      </c>
      <c r="CC31" s="176">
        <f t="shared" si="18"/>
        <v>481138</v>
      </c>
      <c r="CD31" s="177">
        <f t="shared" si="19"/>
        <v>1091.4100000000001</v>
      </c>
      <c r="CE31" s="170">
        <v>119800</v>
      </c>
      <c r="CF31" s="168">
        <v>108554</v>
      </c>
      <c r="CG31" s="168">
        <v>94615.56</v>
      </c>
      <c r="CH31" s="174">
        <v>113652</v>
      </c>
      <c r="CI31" s="168">
        <f t="shared" si="20"/>
        <v>-19036.439999999999</v>
      </c>
      <c r="CJ31" s="168"/>
      <c r="CK31" s="168"/>
      <c r="CL31" s="168"/>
      <c r="CM31" s="171"/>
      <c r="CN31" s="168">
        <f t="shared" si="21"/>
        <v>0</v>
      </c>
      <c r="CO31" s="175"/>
      <c r="CP31" s="175"/>
      <c r="CQ31" s="248"/>
      <c r="CR31" s="247"/>
      <c r="CS31" s="175">
        <f t="shared" si="22"/>
        <v>0</v>
      </c>
      <c r="CT31" s="175"/>
      <c r="CU31" s="175"/>
      <c r="CV31" s="248"/>
      <c r="CW31" s="247"/>
      <c r="CX31" s="175">
        <f t="shared" si="23"/>
        <v>0</v>
      </c>
      <c r="CY31" s="176">
        <f t="shared" si="24"/>
        <v>119800</v>
      </c>
      <c r="CZ31" s="176">
        <f t="shared" si="25"/>
        <v>108554</v>
      </c>
      <c r="DA31" s="176">
        <f t="shared" si="34"/>
        <v>94615.56</v>
      </c>
      <c r="DB31" s="176">
        <f t="shared" si="27"/>
        <v>113652</v>
      </c>
      <c r="DC31" s="177">
        <f t="shared" si="28"/>
        <v>-19036.439999999999</v>
      </c>
      <c r="DD31" s="178">
        <f t="shared" si="29"/>
        <v>1784627</v>
      </c>
      <c r="DE31" s="176">
        <f t="shared" si="30"/>
        <v>1742509.7656599998</v>
      </c>
      <c r="DF31" s="176">
        <f t="shared" si="31"/>
        <v>1683040.2466109996</v>
      </c>
      <c r="DG31" s="176">
        <f t="shared" si="32"/>
        <v>1713051.8</v>
      </c>
      <c r="DH31" s="177">
        <f t="shared" si="33"/>
        <v>-30011.55</v>
      </c>
    </row>
    <row r="32" spans="1:112" x14ac:dyDescent="0.3">
      <c r="A32" s="97" t="s">
        <v>43</v>
      </c>
      <c r="B32" s="115">
        <v>11</v>
      </c>
      <c r="C32" s="166">
        <v>3518</v>
      </c>
      <c r="D32" s="167">
        <v>3473.9</v>
      </c>
      <c r="E32" s="168">
        <v>3473.9</v>
      </c>
      <c r="F32" s="168">
        <v>2854.57</v>
      </c>
      <c r="G32" s="169">
        <f t="shared" si="2"/>
        <v>619.33000000000004</v>
      </c>
      <c r="H32" s="170">
        <v>3085</v>
      </c>
      <c r="I32" s="168">
        <v>2924.82</v>
      </c>
      <c r="J32" s="168">
        <v>2924.8241469</v>
      </c>
      <c r="K32" s="168">
        <v>3542.72</v>
      </c>
      <c r="L32" s="171">
        <f t="shared" si="0"/>
        <v>-617.9</v>
      </c>
      <c r="M32" s="168">
        <v>3872</v>
      </c>
      <c r="N32" s="168">
        <v>3252.67</v>
      </c>
      <c r="O32" s="168">
        <v>3252.67</v>
      </c>
      <c r="P32" s="168">
        <v>3854.36</v>
      </c>
      <c r="Q32" s="171">
        <f t="shared" si="3"/>
        <v>-601.69000000000005</v>
      </c>
      <c r="R32" s="168">
        <v>3234</v>
      </c>
      <c r="S32" s="168">
        <v>4198.5146999999997</v>
      </c>
      <c r="T32" s="168">
        <v>4198.5146999999997</v>
      </c>
      <c r="U32" s="168">
        <v>4177.9699999999993</v>
      </c>
      <c r="V32" s="171">
        <f t="shared" si="4"/>
        <v>20.54</v>
      </c>
      <c r="W32" s="168">
        <v>6192</v>
      </c>
      <c r="X32" s="168">
        <v>6074.35</v>
      </c>
      <c r="Y32" s="168">
        <v>6074.35</v>
      </c>
      <c r="Z32" s="168">
        <v>5494.63</v>
      </c>
      <c r="AA32" s="171">
        <f t="shared" si="5"/>
        <v>579.72</v>
      </c>
      <c r="AB32" s="172">
        <f t="shared" si="6"/>
        <v>16383</v>
      </c>
      <c r="AC32" s="172">
        <f t="shared" si="6"/>
        <v>16450.3547</v>
      </c>
      <c r="AD32" s="172">
        <f t="shared" si="6"/>
        <v>16450.358846900002</v>
      </c>
      <c r="AE32" s="172">
        <f t="shared" si="6"/>
        <v>17069.68</v>
      </c>
      <c r="AF32" s="173">
        <f t="shared" si="7"/>
        <v>-619.32000000000005</v>
      </c>
      <c r="AG32" s="170">
        <v>5026</v>
      </c>
      <c r="AH32" s="168">
        <v>5605.72</v>
      </c>
      <c r="AI32" s="168">
        <v>5605.72</v>
      </c>
      <c r="AJ32" s="168">
        <v>3399.73</v>
      </c>
      <c r="AK32" s="171">
        <f t="shared" si="8"/>
        <v>2205.9899999999998</v>
      </c>
      <c r="AL32" s="168">
        <v>5301</v>
      </c>
      <c r="AM32" s="168">
        <v>3359.76</v>
      </c>
      <c r="AN32" s="168">
        <v>3359.76</v>
      </c>
      <c r="AO32" s="168">
        <v>3772.16</v>
      </c>
      <c r="AP32" s="171">
        <f t="shared" si="9"/>
        <v>-412.4</v>
      </c>
      <c r="AQ32" s="168">
        <v>5156</v>
      </c>
      <c r="AR32" s="168">
        <v>3362.41</v>
      </c>
      <c r="AS32" s="168">
        <v>3328.2663538088327</v>
      </c>
      <c r="AT32" s="168">
        <v>3864.7</v>
      </c>
      <c r="AU32" s="171">
        <f t="shared" si="10"/>
        <v>-536.42999999999995</v>
      </c>
      <c r="AV32" s="168">
        <v>4430</v>
      </c>
      <c r="AW32" s="168">
        <v>4402.84</v>
      </c>
      <c r="AX32" s="168">
        <v>4238.66</v>
      </c>
      <c r="AY32" s="171">
        <v>4751.6900000000005</v>
      </c>
      <c r="AZ32" s="171">
        <f t="shared" si="11"/>
        <v>-513.03</v>
      </c>
      <c r="BA32" s="172">
        <f t="shared" si="12"/>
        <v>19913</v>
      </c>
      <c r="BB32" s="172">
        <f t="shared" si="12"/>
        <v>16730.73</v>
      </c>
      <c r="BC32" s="172">
        <f t="shared" si="12"/>
        <v>16532.40635380883</v>
      </c>
      <c r="BD32" s="172">
        <f t="shared" si="12"/>
        <v>15788.28</v>
      </c>
      <c r="BE32" s="173">
        <f t="shared" si="13"/>
        <v>744.13</v>
      </c>
      <c r="BF32" s="170">
        <v>5129</v>
      </c>
      <c r="BG32" s="168">
        <v>3855.67</v>
      </c>
      <c r="BH32" s="168">
        <v>3560.4208926154056</v>
      </c>
      <c r="BI32" s="174">
        <v>3610.19</v>
      </c>
      <c r="BJ32" s="168">
        <f t="shared" si="14"/>
        <v>-49.77</v>
      </c>
      <c r="BK32" s="168">
        <v>4825</v>
      </c>
      <c r="BL32" s="168">
        <v>1067.5900000000001</v>
      </c>
      <c r="BM32" s="168">
        <v>1003.6606576223677</v>
      </c>
      <c r="BN32" s="171">
        <v>4474.01</v>
      </c>
      <c r="BO32" s="168">
        <f t="shared" si="15"/>
        <v>-3470.35</v>
      </c>
      <c r="BP32" s="175">
        <v>4908</v>
      </c>
      <c r="BQ32" s="175">
        <v>8778.81</v>
      </c>
      <c r="BR32" s="248">
        <v>8480.74</v>
      </c>
      <c r="BS32" s="247">
        <v>5426.24</v>
      </c>
      <c r="BT32" s="175">
        <f t="shared" si="16"/>
        <v>3054.5</v>
      </c>
      <c r="BU32" s="175">
        <v>5536</v>
      </c>
      <c r="BV32" s="175">
        <v>5791.65</v>
      </c>
      <c r="BW32" s="248">
        <v>4991.0200000000004</v>
      </c>
      <c r="BX32" s="247">
        <v>6226.55</v>
      </c>
      <c r="BY32" s="175">
        <f t="shared" si="17"/>
        <v>-1235.53</v>
      </c>
      <c r="BZ32" s="176">
        <f t="shared" si="18"/>
        <v>20398</v>
      </c>
      <c r="CA32" s="176">
        <f t="shared" si="18"/>
        <v>19493.72</v>
      </c>
      <c r="CB32" s="176">
        <f t="shared" si="18"/>
        <v>18035.841550237776</v>
      </c>
      <c r="CC32" s="176">
        <f t="shared" si="18"/>
        <v>19736.990000000002</v>
      </c>
      <c r="CD32" s="177">
        <f t="shared" si="19"/>
        <v>-1701.15</v>
      </c>
      <c r="CE32" s="170">
        <v>3971</v>
      </c>
      <c r="CF32" s="168">
        <v>0</v>
      </c>
      <c r="CG32" s="168">
        <v>0</v>
      </c>
      <c r="CH32" s="174">
        <v>4304.75</v>
      </c>
      <c r="CI32" s="168">
        <f t="shared" si="20"/>
        <v>-4304.75</v>
      </c>
      <c r="CJ32" s="168"/>
      <c r="CK32" s="168"/>
      <c r="CL32" s="168"/>
      <c r="CM32" s="171"/>
      <c r="CN32" s="168">
        <f t="shared" si="21"/>
        <v>0</v>
      </c>
      <c r="CO32" s="175"/>
      <c r="CP32" s="175"/>
      <c r="CQ32" s="248"/>
      <c r="CR32" s="247"/>
      <c r="CS32" s="175">
        <f t="shared" si="22"/>
        <v>0</v>
      </c>
      <c r="CT32" s="175"/>
      <c r="CU32" s="175"/>
      <c r="CV32" s="248"/>
      <c r="CW32" s="247"/>
      <c r="CX32" s="175">
        <f t="shared" si="23"/>
        <v>0</v>
      </c>
      <c r="CY32" s="176">
        <f t="shared" si="24"/>
        <v>3971</v>
      </c>
      <c r="CZ32" s="176">
        <f t="shared" si="25"/>
        <v>0</v>
      </c>
      <c r="DA32" s="176">
        <f t="shared" si="34"/>
        <v>0</v>
      </c>
      <c r="DB32" s="176">
        <f t="shared" si="27"/>
        <v>4304.75</v>
      </c>
      <c r="DC32" s="177">
        <f t="shared" si="28"/>
        <v>-4304.75</v>
      </c>
      <c r="DD32" s="178">
        <f t="shared" si="29"/>
        <v>64183</v>
      </c>
      <c r="DE32" s="176">
        <f t="shared" si="30"/>
        <v>56148.704700000002</v>
      </c>
      <c r="DF32" s="176">
        <f t="shared" si="31"/>
        <v>54492.50675094661</v>
      </c>
      <c r="DG32" s="176">
        <f t="shared" si="32"/>
        <v>59754.270000000004</v>
      </c>
      <c r="DH32" s="177">
        <f t="shared" si="33"/>
        <v>-5261.76</v>
      </c>
    </row>
    <row r="33" spans="1:112" x14ac:dyDescent="0.3">
      <c r="A33" s="97" t="s">
        <v>44</v>
      </c>
      <c r="B33" s="115">
        <v>2</v>
      </c>
      <c r="C33" s="166">
        <v>32058.799999999999</v>
      </c>
      <c r="D33" s="167">
        <v>31656.92</v>
      </c>
      <c r="E33" s="168">
        <v>31656.92</v>
      </c>
      <c r="F33" s="168">
        <v>46845.78</v>
      </c>
      <c r="G33" s="169">
        <f t="shared" si="2"/>
        <v>-15188.86</v>
      </c>
      <c r="H33" s="170">
        <v>35467.07</v>
      </c>
      <c r="I33" s="168">
        <v>33625.589999999997</v>
      </c>
      <c r="J33" s="168">
        <v>33625.5892239198</v>
      </c>
      <c r="K33" s="168">
        <v>32203.83</v>
      </c>
      <c r="L33" s="171">
        <f t="shared" si="0"/>
        <v>1421.76</v>
      </c>
      <c r="M33" s="168">
        <v>30349.239999999998</v>
      </c>
      <c r="N33" s="168">
        <v>30349.239999999998</v>
      </c>
      <c r="O33" s="168">
        <v>30349.239999999998</v>
      </c>
      <c r="P33" s="168">
        <v>44187.360000000001</v>
      </c>
      <c r="Q33" s="171">
        <f t="shared" si="3"/>
        <v>-13838.12</v>
      </c>
      <c r="R33" s="168">
        <v>39688.93</v>
      </c>
      <c r="S33" s="168">
        <v>73687.094250000009</v>
      </c>
      <c r="T33" s="168">
        <v>73687.094250000009</v>
      </c>
      <c r="U33" s="168">
        <v>37255.550000000003</v>
      </c>
      <c r="V33" s="171">
        <f t="shared" si="4"/>
        <v>36431.54</v>
      </c>
      <c r="W33" s="168">
        <v>48145.4</v>
      </c>
      <c r="X33" s="168">
        <v>47230.64</v>
      </c>
      <c r="Y33" s="168">
        <v>47230.64</v>
      </c>
      <c r="Z33" s="168">
        <v>62131.060000000005</v>
      </c>
      <c r="AA33" s="171">
        <f t="shared" si="5"/>
        <v>-14900.42</v>
      </c>
      <c r="AB33" s="172">
        <f t="shared" si="6"/>
        <v>153650.63999999998</v>
      </c>
      <c r="AC33" s="172">
        <f t="shared" si="6"/>
        <v>184892.56425</v>
      </c>
      <c r="AD33" s="172">
        <f t="shared" si="6"/>
        <v>184892.56347391981</v>
      </c>
      <c r="AE33" s="172">
        <f t="shared" si="6"/>
        <v>175777.80000000002</v>
      </c>
      <c r="AF33" s="173">
        <f t="shared" si="7"/>
        <v>9114.76</v>
      </c>
      <c r="AG33" s="170">
        <v>37407</v>
      </c>
      <c r="AH33" s="168">
        <v>28580.68</v>
      </c>
      <c r="AI33" s="168">
        <v>28580.68</v>
      </c>
      <c r="AJ33" s="168">
        <v>33051.19</v>
      </c>
      <c r="AK33" s="171">
        <f t="shared" si="8"/>
        <v>-4470.51</v>
      </c>
      <c r="AL33" s="168">
        <v>27260</v>
      </c>
      <c r="AM33" s="168">
        <v>33735.17</v>
      </c>
      <c r="AN33" s="168">
        <v>33735.17</v>
      </c>
      <c r="AO33" s="168">
        <v>31914.329999999998</v>
      </c>
      <c r="AP33" s="171">
        <f t="shared" si="9"/>
        <v>1820.84</v>
      </c>
      <c r="AQ33" s="168">
        <v>32449</v>
      </c>
      <c r="AR33" s="168">
        <v>41172.769999999997</v>
      </c>
      <c r="AS33" s="168">
        <v>40754.68044768773</v>
      </c>
      <c r="AT33" s="168">
        <v>50796.86</v>
      </c>
      <c r="AU33" s="171">
        <f t="shared" si="10"/>
        <v>-10042.18</v>
      </c>
      <c r="AV33" s="168">
        <v>37517</v>
      </c>
      <c r="AW33" s="168">
        <v>43039.770000000004</v>
      </c>
      <c r="AX33" s="168">
        <v>41434.79</v>
      </c>
      <c r="AY33" s="171">
        <v>49551.82</v>
      </c>
      <c r="AZ33" s="171">
        <f t="shared" si="11"/>
        <v>-8117.03</v>
      </c>
      <c r="BA33" s="172">
        <f t="shared" si="12"/>
        <v>134633</v>
      </c>
      <c r="BB33" s="172">
        <f t="shared" si="12"/>
        <v>146528.39000000001</v>
      </c>
      <c r="BC33" s="172">
        <f t="shared" si="12"/>
        <v>144505.32044768773</v>
      </c>
      <c r="BD33" s="172">
        <f t="shared" si="12"/>
        <v>165314.20000000001</v>
      </c>
      <c r="BE33" s="173">
        <f t="shared" si="13"/>
        <v>-20808.88</v>
      </c>
      <c r="BF33" s="170">
        <v>48954</v>
      </c>
      <c r="BG33" s="168">
        <v>61960.15</v>
      </c>
      <c r="BH33" s="168">
        <v>57215.532597339617</v>
      </c>
      <c r="BI33" s="174">
        <v>37259.97</v>
      </c>
      <c r="BJ33" s="168">
        <f t="shared" si="14"/>
        <v>19955.560000000001</v>
      </c>
      <c r="BK33" s="168">
        <v>36920</v>
      </c>
      <c r="BL33" s="168">
        <v>23860.07</v>
      </c>
      <c r="BM33" s="168">
        <v>22431.283120969401</v>
      </c>
      <c r="BN33" s="171">
        <v>43362.16</v>
      </c>
      <c r="BO33" s="168">
        <f t="shared" si="15"/>
        <v>-20930.88</v>
      </c>
      <c r="BP33" s="175">
        <v>39445</v>
      </c>
      <c r="BQ33" s="175">
        <v>39567.339999999997</v>
      </c>
      <c r="BR33" s="248">
        <v>38223.910000000003</v>
      </c>
      <c r="BS33" s="247">
        <v>48177.619999999995</v>
      </c>
      <c r="BT33" s="175">
        <f t="shared" si="16"/>
        <v>-9953.7099999999991</v>
      </c>
      <c r="BU33" s="175">
        <v>44841</v>
      </c>
      <c r="BV33" s="175">
        <v>69146.23</v>
      </c>
      <c r="BW33" s="248">
        <v>59587.54</v>
      </c>
      <c r="BX33" s="247">
        <v>71911.710000000006</v>
      </c>
      <c r="BY33" s="175">
        <f t="shared" si="17"/>
        <v>-12324.17</v>
      </c>
      <c r="BZ33" s="176">
        <f t="shared" si="18"/>
        <v>170160</v>
      </c>
      <c r="CA33" s="176">
        <f t="shared" si="18"/>
        <v>194533.78999999998</v>
      </c>
      <c r="CB33" s="176">
        <f t="shared" si="18"/>
        <v>177458.26571830903</v>
      </c>
      <c r="CC33" s="176">
        <f t="shared" si="18"/>
        <v>200711.46000000002</v>
      </c>
      <c r="CD33" s="177">
        <f t="shared" si="19"/>
        <v>-23253.19</v>
      </c>
      <c r="CE33" s="170">
        <v>48802</v>
      </c>
      <c r="CF33" s="168">
        <v>44638.66</v>
      </c>
      <c r="CG33" s="168">
        <v>38907.01</v>
      </c>
      <c r="CH33" s="174">
        <v>45125.869999999995</v>
      </c>
      <c r="CI33" s="168">
        <f t="shared" si="20"/>
        <v>-6218.86</v>
      </c>
      <c r="CJ33" s="168"/>
      <c r="CK33" s="168"/>
      <c r="CL33" s="168"/>
      <c r="CM33" s="171"/>
      <c r="CN33" s="168">
        <f t="shared" si="21"/>
        <v>0</v>
      </c>
      <c r="CO33" s="175"/>
      <c r="CP33" s="175"/>
      <c r="CQ33" s="248"/>
      <c r="CR33" s="247"/>
      <c r="CS33" s="175">
        <f t="shared" si="22"/>
        <v>0</v>
      </c>
      <c r="CT33" s="175"/>
      <c r="CU33" s="175"/>
      <c r="CV33" s="248"/>
      <c r="CW33" s="247"/>
      <c r="CX33" s="175">
        <f t="shared" si="23"/>
        <v>0</v>
      </c>
      <c r="CY33" s="176">
        <f t="shared" si="24"/>
        <v>48802</v>
      </c>
      <c r="CZ33" s="176">
        <f t="shared" si="25"/>
        <v>44638.66</v>
      </c>
      <c r="DA33" s="176">
        <f t="shared" si="34"/>
        <v>38907.01</v>
      </c>
      <c r="DB33" s="176">
        <f t="shared" si="27"/>
        <v>45125.869999999995</v>
      </c>
      <c r="DC33" s="177">
        <f t="shared" si="28"/>
        <v>-6218.86</v>
      </c>
      <c r="DD33" s="178">
        <f t="shared" si="29"/>
        <v>539304.43999999994</v>
      </c>
      <c r="DE33" s="176">
        <f t="shared" si="30"/>
        <v>602250.32424999995</v>
      </c>
      <c r="DF33" s="176">
        <f t="shared" si="31"/>
        <v>577420.07963991654</v>
      </c>
      <c r="DG33" s="176">
        <f t="shared" si="32"/>
        <v>633775.11</v>
      </c>
      <c r="DH33" s="177">
        <f t="shared" si="33"/>
        <v>-56355.03</v>
      </c>
    </row>
    <row r="34" spans="1:112" x14ac:dyDescent="0.3">
      <c r="A34" s="97" t="s">
        <v>45</v>
      </c>
      <c r="B34" s="115">
        <v>6</v>
      </c>
      <c r="C34" s="166">
        <v>3390</v>
      </c>
      <c r="D34" s="167">
        <v>3347.5</v>
      </c>
      <c r="E34" s="168">
        <v>3347.5</v>
      </c>
      <c r="F34" s="168">
        <v>2618.21</v>
      </c>
      <c r="G34" s="169">
        <f t="shared" si="2"/>
        <v>729.29</v>
      </c>
      <c r="H34" s="170">
        <v>3408</v>
      </c>
      <c r="I34" s="168">
        <v>3231.05</v>
      </c>
      <c r="J34" s="168">
        <v>3231.0537091199999</v>
      </c>
      <c r="K34" s="168">
        <v>2099.23</v>
      </c>
      <c r="L34" s="171">
        <f t="shared" si="0"/>
        <v>1131.82</v>
      </c>
      <c r="M34" s="168">
        <v>3408</v>
      </c>
      <c r="N34" s="168">
        <v>2678.71</v>
      </c>
      <c r="O34" s="168">
        <v>2678.71</v>
      </c>
      <c r="P34" s="168">
        <v>2754.38</v>
      </c>
      <c r="Q34" s="171">
        <f t="shared" si="3"/>
        <v>-75.67</v>
      </c>
      <c r="R34" s="168">
        <v>3100</v>
      </c>
      <c r="S34" s="168">
        <v>1436.8140800000006</v>
      </c>
      <c r="T34" s="168">
        <v>1436.8140800000006</v>
      </c>
      <c r="U34" s="168">
        <v>4492.25</v>
      </c>
      <c r="V34" s="171">
        <f t="shared" si="4"/>
        <v>-3055.44</v>
      </c>
      <c r="W34" s="168">
        <v>7250</v>
      </c>
      <c r="X34" s="168">
        <v>7112.25</v>
      </c>
      <c r="Y34" s="168">
        <v>7112.25</v>
      </c>
      <c r="Z34" s="168">
        <v>6983.75</v>
      </c>
      <c r="AA34" s="171">
        <f t="shared" si="5"/>
        <v>128.5</v>
      </c>
      <c r="AB34" s="172">
        <f t="shared" si="6"/>
        <v>17166</v>
      </c>
      <c r="AC34" s="172">
        <f t="shared" si="6"/>
        <v>14458.82408</v>
      </c>
      <c r="AD34" s="172">
        <f t="shared" si="6"/>
        <v>14458.82778912</v>
      </c>
      <c r="AE34" s="172">
        <f t="shared" si="6"/>
        <v>16329.61</v>
      </c>
      <c r="AF34" s="173">
        <f t="shared" si="7"/>
        <v>-1870.78</v>
      </c>
      <c r="AG34" s="170">
        <v>7250</v>
      </c>
      <c r="AH34" s="168">
        <v>8520</v>
      </c>
      <c r="AI34" s="168">
        <v>8520</v>
      </c>
      <c r="AJ34" s="168">
        <v>7149.25</v>
      </c>
      <c r="AK34" s="171">
        <f t="shared" si="8"/>
        <v>1370.75</v>
      </c>
      <c r="AL34" s="168">
        <v>7250</v>
      </c>
      <c r="AM34" s="168">
        <v>7121.5</v>
      </c>
      <c r="AN34" s="168">
        <v>7121.5</v>
      </c>
      <c r="AO34" s="168">
        <v>9715.7899999999991</v>
      </c>
      <c r="AP34" s="171">
        <f t="shared" si="9"/>
        <v>-2594.29</v>
      </c>
      <c r="AQ34" s="168">
        <v>8300</v>
      </c>
      <c r="AR34" s="168">
        <v>10665.04</v>
      </c>
      <c r="AS34" s="168">
        <v>10556.741680528357</v>
      </c>
      <c r="AT34" s="168">
        <v>8970.89</v>
      </c>
      <c r="AU34" s="171">
        <f t="shared" si="10"/>
        <v>1585.85</v>
      </c>
      <c r="AV34" s="168">
        <v>7900</v>
      </c>
      <c r="AW34" s="168">
        <v>7900</v>
      </c>
      <c r="AX34" s="168">
        <v>7605.4</v>
      </c>
      <c r="AY34" s="171">
        <v>6702.01</v>
      </c>
      <c r="AZ34" s="171">
        <f t="shared" si="11"/>
        <v>903.39</v>
      </c>
      <c r="BA34" s="172">
        <f t="shared" si="12"/>
        <v>30700</v>
      </c>
      <c r="BB34" s="172">
        <f t="shared" si="12"/>
        <v>34206.54</v>
      </c>
      <c r="BC34" s="172">
        <f t="shared" si="12"/>
        <v>33803.641680528359</v>
      </c>
      <c r="BD34" s="172">
        <f t="shared" si="12"/>
        <v>32537.940000000002</v>
      </c>
      <c r="BE34" s="173">
        <f t="shared" si="13"/>
        <v>1265.7</v>
      </c>
      <c r="BF34" s="170">
        <v>9200</v>
      </c>
      <c r="BG34" s="168">
        <v>8709.19</v>
      </c>
      <c r="BH34" s="168">
        <v>8042.2811168375838</v>
      </c>
      <c r="BI34" s="174">
        <v>5123.6400000000003</v>
      </c>
      <c r="BJ34" s="168">
        <f t="shared" si="14"/>
        <v>2918.64</v>
      </c>
      <c r="BK34" s="168">
        <v>8250</v>
      </c>
      <c r="BL34" s="168">
        <v>7492.11</v>
      </c>
      <c r="BM34" s="168">
        <v>7043.468044454441</v>
      </c>
      <c r="BN34" s="171">
        <v>6188.05</v>
      </c>
      <c r="BO34" s="168">
        <f t="shared" si="15"/>
        <v>855.42</v>
      </c>
      <c r="BP34" s="175">
        <v>8100</v>
      </c>
      <c r="BQ34" s="175">
        <v>5784.9400000000005</v>
      </c>
      <c r="BR34" s="248">
        <v>5588.52</v>
      </c>
      <c r="BS34" s="247">
        <v>8289.77</v>
      </c>
      <c r="BT34" s="175">
        <f t="shared" si="16"/>
        <v>-2701.25</v>
      </c>
      <c r="BU34" s="175">
        <v>12160</v>
      </c>
      <c r="BV34" s="175">
        <v>13769.05</v>
      </c>
      <c r="BW34" s="248">
        <v>11865.63</v>
      </c>
      <c r="BX34" s="247">
        <v>11306.22</v>
      </c>
      <c r="BY34" s="175">
        <f t="shared" si="17"/>
        <v>559.41</v>
      </c>
      <c r="BZ34" s="176">
        <f t="shared" si="18"/>
        <v>37710</v>
      </c>
      <c r="CA34" s="176">
        <f t="shared" si="18"/>
        <v>35755.289999999994</v>
      </c>
      <c r="CB34" s="176">
        <f t="shared" si="18"/>
        <v>32539.899161292022</v>
      </c>
      <c r="CC34" s="176">
        <f t="shared" si="18"/>
        <v>30907.68</v>
      </c>
      <c r="CD34" s="177">
        <f t="shared" si="19"/>
        <v>1632.22</v>
      </c>
      <c r="CE34" s="170">
        <v>11286</v>
      </c>
      <c r="CF34" s="168">
        <v>11286</v>
      </c>
      <c r="CG34" s="168">
        <v>9836.8700000000008</v>
      </c>
      <c r="CH34" s="174">
        <v>9000.0400000000009</v>
      </c>
      <c r="CI34" s="168">
        <f t="shared" si="20"/>
        <v>836.83</v>
      </c>
      <c r="CJ34" s="168"/>
      <c r="CK34" s="168"/>
      <c r="CL34" s="168"/>
      <c r="CM34" s="171"/>
      <c r="CN34" s="168">
        <f t="shared" si="21"/>
        <v>0</v>
      </c>
      <c r="CO34" s="175"/>
      <c r="CP34" s="175"/>
      <c r="CQ34" s="248"/>
      <c r="CR34" s="247"/>
      <c r="CS34" s="175">
        <f t="shared" si="22"/>
        <v>0</v>
      </c>
      <c r="CT34" s="175"/>
      <c r="CU34" s="175"/>
      <c r="CV34" s="248"/>
      <c r="CW34" s="247"/>
      <c r="CX34" s="175">
        <f t="shared" si="23"/>
        <v>0</v>
      </c>
      <c r="CY34" s="176">
        <f t="shared" si="24"/>
        <v>11286</v>
      </c>
      <c r="CZ34" s="176">
        <f t="shared" si="25"/>
        <v>11286</v>
      </c>
      <c r="DA34" s="176">
        <f t="shared" si="34"/>
        <v>9836.8700000000008</v>
      </c>
      <c r="DB34" s="176">
        <f t="shared" si="27"/>
        <v>9000.0400000000009</v>
      </c>
      <c r="DC34" s="177">
        <f t="shared" si="28"/>
        <v>836.83</v>
      </c>
      <c r="DD34" s="178">
        <f t="shared" si="29"/>
        <v>100252</v>
      </c>
      <c r="DE34" s="176">
        <f t="shared" si="30"/>
        <v>99054.154079999993</v>
      </c>
      <c r="DF34" s="176">
        <f t="shared" si="31"/>
        <v>93986.738630940381</v>
      </c>
      <c r="DG34" s="176">
        <f t="shared" si="32"/>
        <v>91393.48000000001</v>
      </c>
      <c r="DH34" s="177">
        <f t="shared" si="33"/>
        <v>2593.2600000000002</v>
      </c>
    </row>
    <row r="35" spans="1:112" x14ac:dyDescent="0.3">
      <c r="A35" s="97" t="s">
        <v>46</v>
      </c>
      <c r="B35" s="115">
        <v>4</v>
      </c>
      <c r="C35" s="166">
        <v>3306.56</v>
      </c>
      <c r="D35" s="167">
        <v>3265.11</v>
      </c>
      <c r="E35" s="168">
        <v>3265.11</v>
      </c>
      <c r="F35" s="168">
        <v>4006.21</v>
      </c>
      <c r="G35" s="169">
        <f t="shared" si="2"/>
        <v>-741.1</v>
      </c>
      <c r="H35" s="170">
        <v>3491.43</v>
      </c>
      <c r="I35" s="168">
        <v>3310.15</v>
      </c>
      <c r="J35" s="168">
        <v>3310.1519517702</v>
      </c>
      <c r="K35" s="168">
        <v>8008.2400000000007</v>
      </c>
      <c r="L35" s="171">
        <f t="shared" si="0"/>
        <v>-4698.09</v>
      </c>
      <c r="M35" s="168">
        <v>3720.78</v>
      </c>
      <c r="N35" s="168">
        <v>3720.78</v>
      </c>
      <c r="O35" s="168">
        <v>3720.78</v>
      </c>
      <c r="P35" s="168">
        <v>7393.67</v>
      </c>
      <c r="Q35" s="171">
        <f t="shared" si="3"/>
        <v>-3672.89</v>
      </c>
      <c r="R35" s="168">
        <v>4118.41</v>
      </c>
      <c r="S35" s="168">
        <v>14487.386549999999</v>
      </c>
      <c r="T35" s="168">
        <v>14487.386549999999</v>
      </c>
      <c r="U35" s="168">
        <v>7313.81</v>
      </c>
      <c r="V35" s="171">
        <f t="shared" si="4"/>
        <v>7173.58</v>
      </c>
      <c r="W35" s="168">
        <v>5850.82</v>
      </c>
      <c r="X35" s="168">
        <v>5739.65</v>
      </c>
      <c r="Y35" s="168">
        <v>5739.65</v>
      </c>
      <c r="Z35" s="168">
        <v>7514.02</v>
      </c>
      <c r="AA35" s="171">
        <f t="shared" si="5"/>
        <v>-1774.37</v>
      </c>
      <c r="AB35" s="172">
        <f t="shared" si="6"/>
        <v>17181.439999999999</v>
      </c>
      <c r="AC35" s="172">
        <f t="shared" si="6"/>
        <v>27257.966549999997</v>
      </c>
      <c r="AD35" s="172">
        <f t="shared" si="6"/>
        <v>27257.9685017702</v>
      </c>
      <c r="AE35" s="172">
        <f t="shared" si="6"/>
        <v>30229.74</v>
      </c>
      <c r="AF35" s="173">
        <f t="shared" si="7"/>
        <v>-2971.77</v>
      </c>
      <c r="AG35" s="170">
        <v>6185</v>
      </c>
      <c r="AH35" s="168">
        <v>8123.5</v>
      </c>
      <c r="AI35" s="168">
        <v>8123.5</v>
      </c>
      <c r="AJ35" s="168">
        <v>6808.7800000000007</v>
      </c>
      <c r="AK35" s="171">
        <f t="shared" si="8"/>
        <v>1314.72</v>
      </c>
      <c r="AL35" s="168">
        <v>9114</v>
      </c>
      <c r="AM35" s="168">
        <v>11779.26</v>
      </c>
      <c r="AN35" s="168">
        <v>11779.26</v>
      </c>
      <c r="AO35" s="168">
        <v>16460.98</v>
      </c>
      <c r="AP35" s="171">
        <f t="shared" si="9"/>
        <v>-4681.72</v>
      </c>
      <c r="AQ35" s="168">
        <v>9531</v>
      </c>
      <c r="AR35" s="168">
        <v>16610.87</v>
      </c>
      <c r="AS35" s="168">
        <v>16442.194654575891</v>
      </c>
      <c r="AT35" s="168">
        <v>17373.21</v>
      </c>
      <c r="AU35" s="171">
        <f t="shared" si="10"/>
        <v>-931.02</v>
      </c>
      <c r="AV35" s="168">
        <v>9755</v>
      </c>
      <c r="AW35" s="168">
        <v>11849.68</v>
      </c>
      <c r="AX35" s="168">
        <v>11407.800000000001</v>
      </c>
      <c r="AY35" s="171">
        <v>8505.48</v>
      </c>
      <c r="AZ35" s="171">
        <f t="shared" si="11"/>
        <v>2902.32</v>
      </c>
      <c r="BA35" s="172">
        <f t="shared" si="12"/>
        <v>34585</v>
      </c>
      <c r="BB35" s="172">
        <f t="shared" si="12"/>
        <v>48363.310000000005</v>
      </c>
      <c r="BC35" s="172">
        <f t="shared" si="12"/>
        <v>47752.754654575896</v>
      </c>
      <c r="BD35" s="172">
        <f t="shared" si="12"/>
        <v>49148.45</v>
      </c>
      <c r="BE35" s="173">
        <f t="shared" si="13"/>
        <v>-1395.7</v>
      </c>
      <c r="BF35" s="170">
        <v>8171</v>
      </c>
      <c r="BG35" s="168">
        <v>8171</v>
      </c>
      <c r="BH35" s="168">
        <v>7545.303180396787</v>
      </c>
      <c r="BI35" s="174">
        <v>8682.2200000000012</v>
      </c>
      <c r="BJ35" s="168">
        <f t="shared" si="14"/>
        <v>-1136.92</v>
      </c>
      <c r="BK35" s="168">
        <v>8533</v>
      </c>
      <c r="BL35" s="168">
        <v>5199</v>
      </c>
      <c r="BM35" s="168">
        <v>4887.6738813389875</v>
      </c>
      <c r="BN35" s="171">
        <v>7434.12</v>
      </c>
      <c r="BO35" s="168">
        <f t="shared" si="15"/>
        <v>-2546.4499999999998</v>
      </c>
      <c r="BP35" s="175">
        <v>7587</v>
      </c>
      <c r="BQ35" s="175">
        <v>11003.369999999999</v>
      </c>
      <c r="BR35" s="248">
        <v>10629.77</v>
      </c>
      <c r="BS35" s="247">
        <v>7167</v>
      </c>
      <c r="BT35" s="175">
        <f t="shared" si="16"/>
        <v>3462.77</v>
      </c>
      <c r="BU35" s="175">
        <v>12587</v>
      </c>
      <c r="BV35" s="175">
        <v>11670.68</v>
      </c>
      <c r="BW35" s="248">
        <v>10057.34</v>
      </c>
      <c r="BX35" s="247">
        <v>10398.780000000001</v>
      </c>
      <c r="BY35" s="175">
        <f t="shared" si="17"/>
        <v>-341.44</v>
      </c>
      <c r="BZ35" s="176">
        <f t="shared" si="18"/>
        <v>36878</v>
      </c>
      <c r="CA35" s="176">
        <f t="shared" si="18"/>
        <v>36044.050000000003</v>
      </c>
      <c r="CB35" s="176">
        <f t="shared" si="18"/>
        <v>33120.087061735772</v>
      </c>
      <c r="CC35" s="176">
        <f t="shared" si="18"/>
        <v>33682.120000000003</v>
      </c>
      <c r="CD35" s="177">
        <f t="shared" si="19"/>
        <v>-562.03</v>
      </c>
      <c r="CE35" s="170">
        <v>9357</v>
      </c>
      <c r="CF35" s="168">
        <v>5350.8899999999994</v>
      </c>
      <c r="CG35" s="168">
        <v>4663.83</v>
      </c>
      <c r="CH35" s="174">
        <v>8824.14</v>
      </c>
      <c r="CI35" s="168">
        <f t="shared" si="20"/>
        <v>-4160.3100000000004</v>
      </c>
      <c r="CJ35" s="168"/>
      <c r="CK35" s="168"/>
      <c r="CL35" s="168"/>
      <c r="CM35" s="171"/>
      <c r="CN35" s="168">
        <f t="shared" si="21"/>
        <v>0</v>
      </c>
      <c r="CO35" s="175"/>
      <c r="CP35" s="175"/>
      <c r="CQ35" s="248"/>
      <c r="CR35" s="247"/>
      <c r="CS35" s="175">
        <f t="shared" si="22"/>
        <v>0</v>
      </c>
      <c r="CT35" s="175"/>
      <c r="CU35" s="175"/>
      <c r="CV35" s="248"/>
      <c r="CW35" s="247"/>
      <c r="CX35" s="175">
        <f t="shared" si="23"/>
        <v>0</v>
      </c>
      <c r="CY35" s="176">
        <f t="shared" si="24"/>
        <v>9357</v>
      </c>
      <c r="CZ35" s="176">
        <f t="shared" si="25"/>
        <v>5350.8899999999994</v>
      </c>
      <c r="DA35" s="176">
        <f t="shared" si="34"/>
        <v>4663.83</v>
      </c>
      <c r="DB35" s="176">
        <f t="shared" si="27"/>
        <v>8824.14</v>
      </c>
      <c r="DC35" s="177">
        <f t="shared" si="28"/>
        <v>-4160.3100000000004</v>
      </c>
      <c r="DD35" s="178">
        <f t="shared" si="29"/>
        <v>101308</v>
      </c>
      <c r="DE35" s="176">
        <f t="shared" si="30"/>
        <v>120281.32655</v>
      </c>
      <c r="DF35" s="176">
        <f t="shared" si="31"/>
        <v>116059.75021808187</v>
      </c>
      <c r="DG35" s="176">
        <f t="shared" si="32"/>
        <v>125890.65999999999</v>
      </c>
      <c r="DH35" s="177">
        <f t="shared" si="33"/>
        <v>-9830.91</v>
      </c>
    </row>
    <row r="36" spans="1:112" x14ac:dyDescent="0.3">
      <c r="A36" s="97" t="s">
        <v>47</v>
      </c>
      <c r="B36" s="115">
        <v>1</v>
      </c>
      <c r="C36" s="166">
        <v>3008.08</v>
      </c>
      <c r="D36" s="167">
        <v>2970.37</v>
      </c>
      <c r="E36" s="168">
        <v>2970.37</v>
      </c>
      <c r="F36" s="168">
        <v>947.79000000000008</v>
      </c>
      <c r="G36" s="169">
        <f t="shared" si="2"/>
        <v>2022.58</v>
      </c>
      <c r="H36" s="170">
        <v>1587</v>
      </c>
      <c r="I36" s="168">
        <v>1504.6</v>
      </c>
      <c r="J36" s="168">
        <v>1504.60159518</v>
      </c>
      <c r="K36" s="168">
        <v>771.18000000000006</v>
      </c>
      <c r="L36" s="171">
        <f t="shared" si="0"/>
        <v>733.42</v>
      </c>
      <c r="M36" s="168">
        <v>1025</v>
      </c>
      <c r="N36" s="168">
        <v>0</v>
      </c>
      <c r="O36" s="168">
        <v>0</v>
      </c>
      <c r="P36" s="168">
        <v>1385.46</v>
      </c>
      <c r="Q36" s="171">
        <f t="shared" si="3"/>
        <v>-1385.46</v>
      </c>
      <c r="R36" s="168">
        <v>0</v>
      </c>
      <c r="S36" s="168">
        <v>0</v>
      </c>
      <c r="T36" s="168">
        <v>0</v>
      </c>
      <c r="U36" s="168">
        <v>0</v>
      </c>
      <c r="V36" s="171">
        <f t="shared" si="4"/>
        <v>0</v>
      </c>
      <c r="W36" s="168">
        <v>0</v>
      </c>
      <c r="X36" s="168">
        <v>0</v>
      </c>
      <c r="Y36" s="168">
        <v>0</v>
      </c>
      <c r="Z36" s="168">
        <v>1797.3</v>
      </c>
      <c r="AA36" s="171">
        <f t="shared" si="5"/>
        <v>-1797.3</v>
      </c>
      <c r="AB36" s="172">
        <f t="shared" si="6"/>
        <v>2612</v>
      </c>
      <c r="AC36" s="172">
        <f t="shared" si="6"/>
        <v>1504.6</v>
      </c>
      <c r="AD36" s="172">
        <f t="shared" si="6"/>
        <v>1504.60159518</v>
      </c>
      <c r="AE36" s="172">
        <f t="shared" si="6"/>
        <v>3953.9400000000005</v>
      </c>
      <c r="AF36" s="173">
        <f t="shared" si="7"/>
        <v>-2449.34</v>
      </c>
      <c r="AG36" s="170">
        <v>1395</v>
      </c>
      <c r="AH36" s="168">
        <v>24.460000000000036</v>
      </c>
      <c r="AI36" s="168">
        <v>24.460000000000036</v>
      </c>
      <c r="AJ36" s="168">
        <v>1503.27</v>
      </c>
      <c r="AK36" s="171">
        <f t="shared" si="8"/>
        <v>-1478.81</v>
      </c>
      <c r="AL36" s="168">
        <v>2660</v>
      </c>
      <c r="AM36" s="168">
        <v>3062.3</v>
      </c>
      <c r="AN36" s="168">
        <v>3062.3</v>
      </c>
      <c r="AO36" s="168">
        <v>2652.38</v>
      </c>
      <c r="AP36" s="171">
        <f t="shared" si="9"/>
        <v>409.92</v>
      </c>
      <c r="AQ36" s="168">
        <v>2650</v>
      </c>
      <c r="AR36" s="168">
        <v>4145.6499999999996</v>
      </c>
      <c r="AS36" s="168">
        <v>4103.5529306859025</v>
      </c>
      <c r="AT36" s="168">
        <v>0</v>
      </c>
      <c r="AU36" s="171">
        <f t="shared" si="10"/>
        <v>4103.55</v>
      </c>
      <c r="AV36" s="168">
        <v>1360</v>
      </c>
      <c r="AW36" s="168">
        <v>0</v>
      </c>
      <c r="AX36" s="168">
        <v>0</v>
      </c>
      <c r="AY36" s="171">
        <v>1845.51</v>
      </c>
      <c r="AZ36" s="171">
        <f t="shared" si="11"/>
        <v>-1845.51</v>
      </c>
      <c r="BA36" s="172">
        <f t="shared" si="12"/>
        <v>8065</v>
      </c>
      <c r="BB36" s="172">
        <f t="shared" si="12"/>
        <v>7232.41</v>
      </c>
      <c r="BC36" s="172">
        <f t="shared" si="12"/>
        <v>7190.3129306859028</v>
      </c>
      <c r="BD36" s="172">
        <f t="shared" si="12"/>
        <v>6001.16</v>
      </c>
      <c r="BE36" s="173">
        <f t="shared" si="13"/>
        <v>1189.1500000000001</v>
      </c>
      <c r="BF36" s="170">
        <v>0</v>
      </c>
      <c r="BG36" s="168">
        <v>0</v>
      </c>
      <c r="BH36" s="168">
        <v>0</v>
      </c>
      <c r="BI36" s="174">
        <v>489.33000000000004</v>
      </c>
      <c r="BJ36" s="168">
        <f t="shared" si="14"/>
        <v>-489.33</v>
      </c>
      <c r="BK36" s="168">
        <v>2075</v>
      </c>
      <c r="BL36" s="168">
        <v>4468.12</v>
      </c>
      <c r="BM36" s="168">
        <v>4200.5603813595608</v>
      </c>
      <c r="BN36" s="171">
        <v>2065.65</v>
      </c>
      <c r="BO36" s="168">
        <f t="shared" si="15"/>
        <v>2134.91</v>
      </c>
      <c r="BP36" s="175">
        <v>575</v>
      </c>
      <c r="BQ36" s="175">
        <v>0</v>
      </c>
      <c r="BR36" s="248">
        <v>0</v>
      </c>
      <c r="BS36" s="247">
        <v>95.22</v>
      </c>
      <c r="BT36" s="175">
        <f t="shared" si="16"/>
        <v>-95.22</v>
      </c>
      <c r="BU36" s="175">
        <v>1503</v>
      </c>
      <c r="BV36" s="175">
        <v>0</v>
      </c>
      <c r="BW36" s="248">
        <v>0</v>
      </c>
      <c r="BX36" s="247">
        <v>4112.09</v>
      </c>
      <c r="BY36" s="175">
        <f t="shared" si="17"/>
        <v>-4112.09</v>
      </c>
      <c r="BZ36" s="176">
        <f t="shared" si="18"/>
        <v>4153</v>
      </c>
      <c r="CA36" s="176">
        <f t="shared" si="18"/>
        <v>4468.12</v>
      </c>
      <c r="CB36" s="176">
        <f t="shared" si="18"/>
        <v>4200.5603813595608</v>
      </c>
      <c r="CC36" s="176">
        <f t="shared" si="18"/>
        <v>6762.29</v>
      </c>
      <c r="CD36" s="177">
        <f t="shared" si="19"/>
        <v>-2561.73</v>
      </c>
      <c r="CE36" s="170">
        <v>1220</v>
      </c>
      <c r="CF36" s="168">
        <v>4470.8</v>
      </c>
      <c r="CG36" s="168">
        <v>3896.75</v>
      </c>
      <c r="CH36" s="174">
        <v>451.46</v>
      </c>
      <c r="CI36" s="168">
        <f t="shared" si="20"/>
        <v>3445.29</v>
      </c>
      <c r="CJ36" s="168"/>
      <c r="CK36" s="168"/>
      <c r="CL36" s="168"/>
      <c r="CM36" s="171"/>
      <c r="CN36" s="168">
        <f t="shared" si="21"/>
        <v>0</v>
      </c>
      <c r="CO36" s="175"/>
      <c r="CP36" s="175"/>
      <c r="CQ36" s="248"/>
      <c r="CR36" s="247"/>
      <c r="CS36" s="175">
        <f t="shared" si="22"/>
        <v>0</v>
      </c>
      <c r="CT36" s="175"/>
      <c r="CU36" s="175"/>
      <c r="CV36" s="248"/>
      <c r="CW36" s="247"/>
      <c r="CX36" s="175">
        <f t="shared" si="23"/>
        <v>0</v>
      </c>
      <c r="CY36" s="176">
        <f t="shared" si="24"/>
        <v>1220</v>
      </c>
      <c r="CZ36" s="176">
        <f t="shared" si="25"/>
        <v>4470.8</v>
      </c>
      <c r="DA36" s="176">
        <f t="shared" si="34"/>
        <v>3896.75</v>
      </c>
      <c r="DB36" s="176">
        <f t="shared" si="27"/>
        <v>451.46</v>
      </c>
      <c r="DC36" s="177">
        <f t="shared" si="28"/>
        <v>3445.29</v>
      </c>
      <c r="DD36" s="178">
        <f t="shared" si="29"/>
        <v>19058.080000000002</v>
      </c>
      <c r="DE36" s="176">
        <f t="shared" si="30"/>
        <v>20646.3</v>
      </c>
      <c r="DF36" s="176">
        <f t="shared" si="31"/>
        <v>19762.594907225466</v>
      </c>
      <c r="DG36" s="176">
        <f t="shared" si="32"/>
        <v>18116.64</v>
      </c>
      <c r="DH36" s="177">
        <f t="shared" si="33"/>
        <v>1645.95</v>
      </c>
    </row>
    <row r="37" spans="1:112" x14ac:dyDescent="0.3">
      <c r="A37" s="97" t="s">
        <v>48</v>
      </c>
      <c r="B37" s="115">
        <v>1</v>
      </c>
      <c r="C37" s="166">
        <v>53299</v>
      </c>
      <c r="D37" s="167">
        <v>52630.85</v>
      </c>
      <c r="E37" s="168">
        <v>52630.85</v>
      </c>
      <c r="F37" s="168">
        <v>53347.06</v>
      </c>
      <c r="G37" s="169">
        <f t="shared" si="2"/>
        <v>-716.21</v>
      </c>
      <c r="H37" s="170">
        <v>54145</v>
      </c>
      <c r="I37" s="168">
        <v>51333.74</v>
      </c>
      <c r="J37" s="168">
        <v>51333.745035300002</v>
      </c>
      <c r="K37" s="168">
        <v>40009.350000000006</v>
      </c>
      <c r="L37" s="171">
        <f t="shared" si="0"/>
        <v>11324.4</v>
      </c>
      <c r="M37" s="168">
        <v>54145</v>
      </c>
      <c r="N37" s="168">
        <v>54145</v>
      </c>
      <c r="O37" s="168">
        <v>54145</v>
      </c>
      <c r="P37" s="168">
        <v>53775.229999999996</v>
      </c>
      <c r="Q37" s="171">
        <f t="shared" si="3"/>
        <v>369.77</v>
      </c>
      <c r="R37" s="168">
        <v>54145</v>
      </c>
      <c r="S37" s="168">
        <v>47181.585650000001</v>
      </c>
      <c r="T37" s="168">
        <v>47181.585650000001</v>
      </c>
      <c r="U37" s="168">
        <v>45462.369999999995</v>
      </c>
      <c r="V37" s="171">
        <f t="shared" si="4"/>
        <v>1719.22</v>
      </c>
      <c r="W37" s="168">
        <v>54145</v>
      </c>
      <c r="X37" s="168">
        <v>53116.24</v>
      </c>
      <c r="Y37" s="168">
        <v>53116.24</v>
      </c>
      <c r="Z37" s="168">
        <v>51564.229999999996</v>
      </c>
      <c r="AA37" s="171">
        <f t="shared" si="5"/>
        <v>1552.01</v>
      </c>
      <c r="AB37" s="172">
        <f t="shared" si="6"/>
        <v>216580</v>
      </c>
      <c r="AC37" s="172">
        <f t="shared" si="6"/>
        <v>205776.56564999997</v>
      </c>
      <c r="AD37" s="172">
        <f t="shared" si="6"/>
        <v>205776.57068529999</v>
      </c>
      <c r="AE37" s="172">
        <f t="shared" si="6"/>
        <v>190811.18</v>
      </c>
      <c r="AF37" s="173">
        <f t="shared" si="7"/>
        <v>14965.39</v>
      </c>
      <c r="AG37" s="170">
        <v>57441</v>
      </c>
      <c r="AH37" s="168">
        <v>44743.83</v>
      </c>
      <c r="AI37" s="168">
        <v>44743.83</v>
      </c>
      <c r="AJ37" s="168">
        <v>47256.639999999999</v>
      </c>
      <c r="AK37" s="171">
        <f t="shared" si="8"/>
        <v>-2512.81</v>
      </c>
      <c r="AL37" s="168">
        <v>57441</v>
      </c>
      <c r="AM37" s="168">
        <v>53463.76</v>
      </c>
      <c r="AN37" s="168">
        <v>53463.76</v>
      </c>
      <c r="AO37" s="168">
        <v>60713.17</v>
      </c>
      <c r="AP37" s="171">
        <f t="shared" si="9"/>
        <v>-7249.41</v>
      </c>
      <c r="AQ37" s="168">
        <v>57441</v>
      </c>
      <c r="AR37" s="168">
        <v>52954.04</v>
      </c>
      <c r="AS37" s="168">
        <v>52416.3173528056</v>
      </c>
      <c r="AT37" s="168">
        <v>56409.86</v>
      </c>
      <c r="AU37" s="171">
        <f t="shared" si="10"/>
        <v>-3993.54</v>
      </c>
      <c r="AV37" s="168">
        <v>57441</v>
      </c>
      <c r="AW37" s="168">
        <v>63893.89</v>
      </c>
      <c r="AX37" s="168">
        <v>61511.25</v>
      </c>
      <c r="AY37" s="171">
        <v>54286.570000000007</v>
      </c>
      <c r="AZ37" s="171">
        <f t="shared" si="11"/>
        <v>7224.68</v>
      </c>
      <c r="BA37" s="172">
        <f t="shared" si="12"/>
        <v>229764</v>
      </c>
      <c r="BB37" s="172">
        <f t="shared" si="12"/>
        <v>215055.52000000002</v>
      </c>
      <c r="BC37" s="172">
        <f t="shared" si="12"/>
        <v>212135.1573528056</v>
      </c>
      <c r="BD37" s="172">
        <f t="shared" si="12"/>
        <v>218666.23999999999</v>
      </c>
      <c r="BE37" s="173">
        <f t="shared" si="13"/>
        <v>-6531.08</v>
      </c>
      <c r="BF37" s="170">
        <v>60274</v>
      </c>
      <c r="BG37" s="168">
        <v>59108.7</v>
      </c>
      <c r="BH37" s="168">
        <v>54582.433251636219</v>
      </c>
      <c r="BI37" s="174">
        <v>61081.599999999991</v>
      </c>
      <c r="BJ37" s="168">
        <f t="shared" si="14"/>
        <v>-6499.17</v>
      </c>
      <c r="BK37" s="168">
        <v>60274</v>
      </c>
      <c r="BL37" s="168">
        <v>63136.26</v>
      </c>
      <c r="BM37" s="168">
        <v>59355.539328222243</v>
      </c>
      <c r="BN37" s="171">
        <v>51227.87</v>
      </c>
      <c r="BO37" s="168">
        <f t="shared" si="15"/>
        <v>8127.67</v>
      </c>
      <c r="BP37" s="175">
        <v>60274</v>
      </c>
      <c r="BQ37" s="175">
        <v>64185.77</v>
      </c>
      <c r="BR37" s="248">
        <v>62006.47</v>
      </c>
      <c r="BS37" s="247">
        <v>48479.65</v>
      </c>
      <c r="BT37" s="175">
        <f t="shared" si="16"/>
        <v>13526.82</v>
      </c>
      <c r="BU37" s="175">
        <v>62024</v>
      </c>
      <c r="BV37" s="175">
        <v>56078.12</v>
      </c>
      <c r="BW37" s="248">
        <v>48325.95</v>
      </c>
      <c r="BX37" s="247">
        <v>59604.58</v>
      </c>
      <c r="BY37" s="175">
        <f t="shared" si="17"/>
        <v>-11278.63</v>
      </c>
      <c r="BZ37" s="176">
        <f t="shared" si="18"/>
        <v>242846</v>
      </c>
      <c r="CA37" s="176">
        <f t="shared" si="18"/>
        <v>242508.84999999998</v>
      </c>
      <c r="CB37" s="176">
        <f t="shared" si="18"/>
        <v>224270.39257985848</v>
      </c>
      <c r="CC37" s="176">
        <f t="shared" si="18"/>
        <v>220393.7</v>
      </c>
      <c r="CD37" s="177">
        <f t="shared" si="19"/>
        <v>3876.69</v>
      </c>
      <c r="CE37" s="170">
        <v>67834</v>
      </c>
      <c r="CF37" s="168">
        <v>67494.259999999995</v>
      </c>
      <c r="CG37" s="168">
        <v>58827.93</v>
      </c>
      <c r="CH37" s="174">
        <v>49531.87000000001</v>
      </c>
      <c r="CI37" s="168">
        <f t="shared" si="20"/>
        <v>9296.06</v>
      </c>
      <c r="CJ37" s="168"/>
      <c r="CK37" s="168"/>
      <c r="CL37" s="168"/>
      <c r="CM37" s="171"/>
      <c r="CN37" s="168">
        <f t="shared" si="21"/>
        <v>0</v>
      </c>
      <c r="CO37" s="175"/>
      <c r="CP37" s="175"/>
      <c r="CQ37" s="248"/>
      <c r="CR37" s="247"/>
      <c r="CS37" s="175">
        <f t="shared" si="22"/>
        <v>0</v>
      </c>
      <c r="CT37" s="175"/>
      <c r="CU37" s="175"/>
      <c r="CV37" s="248"/>
      <c r="CW37" s="247"/>
      <c r="CX37" s="175">
        <f t="shared" si="23"/>
        <v>0</v>
      </c>
      <c r="CY37" s="176">
        <f t="shared" si="24"/>
        <v>67834</v>
      </c>
      <c r="CZ37" s="176">
        <f t="shared" si="25"/>
        <v>67494.259999999995</v>
      </c>
      <c r="DA37" s="176">
        <f t="shared" si="34"/>
        <v>58827.93</v>
      </c>
      <c r="DB37" s="176">
        <f t="shared" si="27"/>
        <v>49531.87000000001</v>
      </c>
      <c r="DC37" s="177">
        <f t="shared" si="28"/>
        <v>9296.06</v>
      </c>
      <c r="DD37" s="178">
        <f t="shared" si="29"/>
        <v>810323</v>
      </c>
      <c r="DE37" s="176">
        <f t="shared" si="30"/>
        <v>783466.04564999999</v>
      </c>
      <c r="DF37" s="176">
        <f t="shared" si="31"/>
        <v>753640.90061796422</v>
      </c>
      <c r="DG37" s="176">
        <f t="shared" si="32"/>
        <v>732750.04999999993</v>
      </c>
      <c r="DH37" s="177">
        <f t="shared" si="33"/>
        <v>20890.849999999999</v>
      </c>
    </row>
    <row r="38" spans="1:112" x14ac:dyDescent="0.3">
      <c r="A38" s="97" t="s">
        <v>49</v>
      </c>
      <c r="B38" s="115">
        <v>8</v>
      </c>
      <c r="C38" s="166">
        <v>60900</v>
      </c>
      <c r="D38" s="167">
        <v>60136.57</v>
      </c>
      <c r="E38" s="168">
        <v>60136.57</v>
      </c>
      <c r="F38" s="168">
        <v>58470.879999999997</v>
      </c>
      <c r="G38" s="169">
        <f t="shared" si="2"/>
        <v>1665.69</v>
      </c>
      <c r="H38" s="170">
        <v>64220</v>
      </c>
      <c r="I38" s="168">
        <v>60885.64</v>
      </c>
      <c r="J38" s="168">
        <v>60885.6423708</v>
      </c>
      <c r="K38" s="168">
        <v>61798.430000000008</v>
      </c>
      <c r="L38" s="171">
        <f t="shared" si="0"/>
        <v>-912.79</v>
      </c>
      <c r="M38" s="168">
        <v>59370</v>
      </c>
      <c r="N38" s="168">
        <v>57538.07</v>
      </c>
      <c r="O38" s="168">
        <v>57538.07</v>
      </c>
      <c r="P38" s="168">
        <v>57429.14</v>
      </c>
      <c r="Q38" s="171">
        <f t="shared" si="3"/>
        <v>108.93</v>
      </c>
      <c r="R38" s="168">
        <v>68277</v>
      </c>
      <c r="S38" s="168">
        <v>73503.080490000022</v>
      </c>
      <c r="T38" s="168">
        <v>73503.080490000022</v>
      </c>
      <c r="U38" s="168">
        <v>62662.95</v>
      </c>
      <c r="V38" s="171">
        <f t="shared" si="4"/>
        <v>10840.13</v>
      </c>
      <c r="W38" s="168">
        <v>66823</v>
      </c>
      <c r="X38" s="168">
        <v>65553.36</v>
      </c>
      <c r="Y38" s="168">
        <v>65553.36</v>
      </c>
      <c r="Z38" s="168">
        <v>64391.179999999993</v>
      </c>
      <c r="AA38" s="171">
        <f t="shared" si="5"/>
        <v>1162.18</v>
      </c>
      <c r="AB38" s="172">
        <f t="shared" si="6"/>
        <v>258690</v>
      </c>
      <c r="AC38" s="172">
        <f t="shared" si="6"/>
        <v>257480.15049000003</v>
      </c>
      <c r="AD38" s="172">
        <f t="shared" si="6"/>
        <v>257480.15286080004</v>
      </c>
      <c r="AE38" s="172">
        <f t="shared" si="6"/>
        <v>246281.7</v>
      </c>
      <c r="AF38" s="173">
        <f t="shared" si="7"/>
        <v>11198.45</v>
      </c>
      <c r="AG38" s="170">
        <v>63484</v>
      </c>
      <c r="AH38" s="168">
        <v>51782.04</v>
      </c>
      <c r="AI38" s="168">
        <v>51782.04</v>
      </c>
      <c r="AJ38" s="168">
        <v>54941.4</v>
      </c>
      <c r="AK38" s="171">
        <f t="shared" si="8"/>
        <v>-3159.36</v>
      </c>
      <c r="AL38" s="168">
        <v>60232</v>
      </c>
      <c r="AM38" s="168">
        <v>59069.82</v>
      </c>
      <c r="AN38" s="168">
        <v>59069.82</v>
      </c>
      <c r="AO38" s="168">
        <v>63622.46</v>
      </c>
      <c r="AP38" s="171">
        <f t="shared" si="9"/>
        <v>-4552.6400000000003</v>
      </c>
      <c r="AQ38" s="168">
        <v>62112</v>
      </c>
      <c r="AR38" s="168">
        <v>56959.86</v>
      </c>
      <c r="AS38" s="168">
        <v>56381.460189465768</v>
      </c>
      <c r="AT38" s="168">
        <v>79216.7</v>
      </c>
      <c r="AU38" s="171">
        <f t="shared" si="10"/>
        <v>-22835.24</v>
      </c>
      <c r="AV38" s="168">
        <v>69588</v>
      </c>
      <c r="AW38" s="168">
        <v>77054.399999999994</v>
      </c>
      <c r="AX38" s="168">
        <v>74180.989999999991</v>
      </c>
      <c r="AY38" s="171">
        <v>69724.66</v>
      </c>
      <c r="AZ38" s="171">
        <f t="shared" si="11"/>
        <v>4456.33</v>
      </c>
      <c r="BA38" s="172">
        <f t="shared" si="12"/>
        <v>255416</v>
      </c>
      <c r="BB38" s="172">
        <f t="shared" si="12"/>
        <v>244866.12</v>
      </c>
      <c r="BC38" s="172">
        <f t="shared" si="12"/>
        <v>241414.31018946576</v>
      </c>
      <c r="BD38" s="172">
        <f t="shared" si="12"/>
        <v>267505.21999999997</v>
      </c>
      <c r="BE38" s="173">
        <f t="shared" si="13"/>
        <v>-26090.91</v>
      </c>
      <c r="BF38" s="170">
        <v>60022</v>
      </c>
      <c r="BG38" s="168">
        <v>70392.25</v>
      </c>
      <c r="BH38" s="168">
        <v>65001.941965522667</v>
      </c>
      <c r="BI38" s="174">
        <v>61250.29</v>
      </c>
      <c r="BJ38" s="168">
        <f t="shared" si="14"/>
        <v>3751.65</v>
      </c>
      <c r="BK38" s="168">
        <v>81233</v>
      </c>
      <c r="BL38" s="168">
        <v>61526.729999999996</v>
      </c>
      <c r="BM38" s="168">
        <v>57842.391080053065</v>
      </c>
      <c r="BN38" s="171">
        <v>60814.100000000006</v>
      </c>
      <c r="BO38" s="168">
        <f t="shared" si="15"/>
        <v>-2971.71</v>
      </c>
      <c r="BP38" s="175">
        <v>75425</v>
      </c>
      <c r="BQ38" s="175">
        <v>85299.56</v>
      </c>
      <c r="BR38" s="248">
        <v>82403.38</v>
      </c>
      <c r="BS38" s="247">
        <v>80569.75</v>
      </c>
      <c r="BT38" s="175">
        <f t="shared" si="16"/>
        <v>1833.63</v>
      </c>
      <c r="BU38" s="175">
        <v>70697</v>
      </c>
      <c r="BV38" s="175">
        <v>66103.33</v>
      </c>
      <c r="BW38" s="248">
        <v>56965.29</v>
      </c>
      <c r="BX38" s="247">
        <v>84449.42</v>
      </c>
      <c r="BY38" s="175">
        <f t="shared" si="17"/>
        <v>-27484.13</v>
      </c>
      <c r="BZ38" s="176">
        <f t="shared" si="18"/>
        <v>287377</v>
      </c>
      <c r="CA38" s="176">
        <f t="shared" si="18"/>
        <v>283321.87</v>
      </c>
      <c r="CB38" s="176">
        <f t="shared" si="18"/>
        <v>262213.00304557575</v>
      </c>
      <c r="CC38" s="176">
        <f t="shared" si="18"/>
        <v>287083.56</v>
      </c>
      <c r="CD38" s="177">
        <f t="shared" si="19"/>
        <v>-24870.560000000001</v>
      </c>
      <c r="CE38" s="170">
        <v>83208</v>
      </c>
      <c r="CF38" s="168">
        <v>132262.08000000002</v>
      </c>
      <c r="CG38" s="168">
        <v>115279.5</v>
      </c>
      <c r="CH38" s="174">
        <v>69107.31</v>
      </c>
      <c r="CI38" s="168">
        <f t="shared" si="20"/>
        <v>46172.19</v>
      </c>
      <c r="CJ38" s="168"/>
      <c r="CK38" s="168"/>
      <c r="CL38" s="168"/>
      <c r="CM38" s="171"/>
      <c r="CN38" s="168">
        <f t="shared" si="21"/>
        <v>0</v>
      </c>
      <c r="CO38" s="175"/>
      <c r="CP38" s="175"/>
      <c r="CQ38" s="248"/>
      <c r="CR38" s="247"/>
      <c r="CS38" s="175">
        <f t="shared" si="22"/>
        <v>0</v>
      </c>
      <c r="CT38" s="175"/>
      <c r="CU38" s="175"/>
      <c r="CV38" s="248"/>
      <c r="CW38" s="247"/>
      <c r="CX38" s="175">
        <f t="shared" si="23"/>
        <v>0</v>
      </c>
      <c r="CY38" s="176">
        <f t="shared" si="24"/>
        <v>83208</v>
      </c>
      <c r="CZ38" s="176">
        <f t="shared" si="25"/>
        <v>132262.08000000002</v>
      </c>
      <c r="DA38" s="176">
        <f t="shared" si="34"/>
        <v>115279.5</v>
      </c>
      <c r="DB38" s="176">
        <f t="shared" si="27"/>
        <v>69107.31</v>
      </c>
      <c r="DC38" s="177">
        <f t="shared" si="28"/>
        <v>46172.19</v>
      </c>
      <c r="DD38" s="178">
        <f t="shared" si="29"/>
        <v>945591</v>
      </c>
      <c r="DE38" s="176">
        <f t="shared" si="30"/>
        <v>978066.79049000004</v>
      </c>
      <c r="DF38" s="176">
        <f t="shared" si="31"/>
        <v>936523.53609584155</v>
      </c>
      <c r="DG38" s="176">
        <f t="shared" si="32"/>
        <v>928448.67000000016</v>
      </c>
      <c r="DH38" s="177">
        <f t="shared" si="33"/>
        <v>8074.87</v>
      </c>
    </row>
    <row r="39" spans="1:112" x14ac:dyDescent="0.3">
      <c r="A39" s="97" t="s">
        <v>50</v>
      </c>
      <c r="B39" s="115">
        <v>10</v>
      </c>
      <c r="C39" s="166">
        <v>59166.49</v>
      </c>
      <c r="D39" s="167">
        <v>58424.79</v>
      </c>
      <c r="E39" s="168">
        <v>58424.79</v>
      </c>
      <c r="F39" s="168">
        <v>58424.79</v>
      </c>
      <c r="G39" s="169">
        <f t="shared" si="2"/>
        <v>0</v>
      </c>
      <c r="H39" s="170">
        <v>69278.179999999993</v>
      </c>
      <c r="I39" s="168">
        <v>65681.2</v>
      </c>
      <c r="J39" s="168">
        <v>65681.197315165191</v>
      </c>
      <c r="K39" s="168">
        <v>64106.619999999995</v>
      </c>
      <c r="L39" s="171">
        <f t="shared" si="0"/>
        <v>1574.58</v>
      </c>
      <c r="M39" s="168">
        <v>58490</v>
      </c>
      <c r="N39" s="168">
        <v>58490</v>
      </c>
      <c r="O39" s="168">
        <v>58490</v>
      </c>
      <c r="P39" s="168">
        <v>66248.84</v>
      </c>
      <c r="Q39" s="171">
        <f t="shared" si="3"/>
        <v>-7758.84</v>
      </c>
      <c r="R39" s="168">
        <v>52796</v>
      </c>
      <c r="S39" s="168">
        <v>64583.38470000001</v>
      </c>
      <c r="T39" s="168">
        <v>64583.38470000001</v>
      </c>
      <c r="U39" s="168">
        <v>57157.09</v>
      </c>
      <c r="V39" s="171">
        <f t="shared" si="4"/>
        <v>7426.29</v>
      </c>
      <c r="W39" s="168">
        <v>61935</v>
      </c>
      <c r="X39" s="168">
        <v>60758.23</v>
      </c>
      <c r="Y39" s="168">
        <v>60758.23</v>
      </c>
      <c r="Z39" s="168">
        <v>63582.89</v>
      </c>
      <c r="AA39" s="171">
        <f t="shared" si="5"/>
        <v>-2824.66</v>
      </c>
      <c r="AB39" s="172">
        <f t="shared" si="6"/>
        <v>242499.18</v>
      </c>
      <c r="AC39" s="172">
        <f t="shared" si="6"/>
        <v>249512.81470000002</v>
      </c>
      <c r="AD39" s="172">
        <f t="shared" si="6"/>
        <v>249512.8120151652</v>
      </c>
      <c r="AE39" s="172">
        <f t="shared" si="6"/>
        <v>251095.44</v>
      </c>
      <c r="AF39" s="173">
        <f t="shared" si="7"/>
        <v>-1582.63</v>
      </c>
      <c r="AG39" s="170">
        <v>61941</v>
      </c>
      <c r="AH39" s="168">
        <v>60698.97</v>
      </c>
      <c r="AI39" s="168">
        <v>60698.97</v>
      </c>
      <c r="AJ39" s="168">
        <v>53769.64</v>
      </c>
      <c r="AK39" s="171">
        <f t="shared" si="8"/>
        <v>6929.33</v>
      </c>
      <c r="AL39" s="168">
        <v>56557</v>
      </c>
      <c r="AM39" s="168">
        <v>49996.04</v>
      </c>
      <c r="AN39" s="168">
        <v>49996.04</v>
      </c>
      <c r="AO39" s="168">
        <v>87636.12</v>
      </c>
      <c r="AP39" s="171">
        <f t="shared" si="9"/>
        <v>-37640.080000000002</v>
      </c>
      <c r="AQ39" s="168">
        <v>51500</v>
      </c>
      <c r="AR39" s="168">
        <v>83793.38</v>
      </c>
      <c r="AS39" s="168">
        <v>82942.498780909518</v>
      </c>
      <c r="AT39" s="168">
        <v>67049.36</v>
      </c>
      <c r="AU39" s="171">
        <f t="shared" si="10"/>
        <v>15893.14</v>
      </c>
      <c r="AV39" s="168">
        <v>59500</v>
      </c>
      <c r="AW39" s="168">
        <v>68382.850000000006</v>
      </c>
      <c r="AX39" s="168">
        <v>65832.810000000012</v>
      </c>
      <c r="AY39" s="171">
        <v>62274.2</v>
      </c>
      <c r="AZ39" s="171">
        <f t="shared" si="11"/>
        <v>3558.61</v>
      </c>
      <c r="BA39" s="172">
        <f t="shared" si="12"/>
        <v>229498</v>
      </c>
      <c r="BB39" s="172">
        <f t="shared" si="12"/>
        <v>262871.24</v>
      </c>
      <c r="BC39" s="172">
        <f t="shared" si="12"/>
        <v>259470.31878090953</v>
      </c>
      <c r="BD39" s="172">
        <f t="shared" si="12"/>
        <v>270729.32</v>
      </c>
      <c r="BE39" s="173">
        <f t="shared" si="13"/>
        <v>-11259</v>
      </c>
      <c r="BF39" s="170">
        <v>72250</v>
      </c>
      <c r="BG39" s="168">
        <v>82943.55</v>
      </c>
      <c r="BH39" s="168">
        <v>76592.122336115528</v>
      </c>
      <c r="BI39" s="174">
        <v>61044.52</v>
      </c>
      <c r="BJ39" s="168">
        <f t="shared" si="14"/>
        <v>15547.6</v>
      </c>
      <c r="BK39" s="168">
        <v>67528</v>
      </c>
      <c r="BL39" s="168">
        <v>54905.270000000004</v>
      </c>
      <c r="BM39" s="168">
        <v>51617.43683917389</v>
      </c>
      <c r="BN39" s="171">
        <v>59022.45</v>
      </c>
      <c r="BO39" s="168">
        <f t="shared" si="15"/>
        <v>-7405.01</v>
      </c>
      <c r="BP39" s="175">
        <v>61100</v>
      </c>
      <c r="BQ39" s="175">
        <v>63391.96</v>
      </c>
      <c r="BR39" s="248">
        <v>61239.61</v>
      </c>
      <c r="BS39" s="247">
        <v>66083.570000000007</v>
      </c>
      <c r="BT39" s="175">
        <f t="shared" si="16"/>
        <v>-4843.96</v>
      </c>
      <c r="BU39" s="175">
        <v>63897</v>
      </c>
      <c r="BV39" s="175">
        <v>89232.43</v>
      </c>
      <c r="BW39" s="248">
        <v>76897.05</v>
      </c>
      <c r="BX39" s="247">
        <v>54164.06</v>
      </c>
      <c r="BY39" s="175">
        <f t="shared" si="17"/>
        <v>22732.99</v>
      </c>
      <c r="BZ39" s="176">
        <f t="shared" si="18"/>
        <v>264775</v>
      </c>
      <c r="CA39" s="176">
        <f t="shared" si="18"/>
        <v>290473.20999999996</v>
      </c>
      <c r="CB39" s="176">
        <f t="shared" si="18"/>
        <v>266346.21917528939</v>
      </c>
      <c r="CC39" s="176">
        <f t="shared" si="18"/>
        <v>240314.6</v>
      </c>
      <c r="CD39" s="177">
        <f t="shared" si="19"/>
        <v>26031.62</v>
      </c>
      <c r="CE39" s="170">
        <v>55892</v>
      </c>
      <c r="CF39" s="168">
        <v>36510.06</v>
      </c>
      <c r="CG39" s="168">
        <v>31822.13</v>
      </c>
      <c r="CH39" s="174">
        <v>33883.86</v>
      </c>
      <c r="CI39" s="168">
        <f t="shared" si="20"/>
        <v>-2061.73</v>
      </c>
      <c r="CJ39" s="168"/>
      <c r="CK39" s="168"/>
      <c r="CL39" s="168"/>
      <c r="CM39" s="171"/>
      <c r="CN39" s="168">
        <f t="shared" si="21"/>
        <v>0</v>
      </c>
      <c r="CO39" s="175"/>
      <c r="CP39" s="175"/>
      <c r="CQ39" s="248"/>
      <c r="CR39" s="247"/>
      <c r="CS39" s="175">
        <f t="shared" si="22"/>
        <v>0</v>
      </c>
      <c r="CT39" s="175"/>
      <c r="CU39" s="175"/>
      <c r="CV39" s="248"/>
      <c r="CW39" s="247"/>
      <c r="CX39" s="175">
        <f t="shared" si="23"/>
        <v>0</v>
      </c>
      <c r="CY39" s="176">
        <f t="shared" si="24"/>
        <v>55892</v>
      </c>
      <c r="CZ39" s="176">
        <f t="shared" si="25"/>
        <v>36510.06</v>
      </c>
      <c r="DA39" s="176">
        <f t="shared" si="34"/>
        <v>31822.13</v>
      </c>
      <c r="DB39" s="176">
        <f t="shared" si="27"/>
        <v>33883.86</v>
      </c>
      <c r="DC39" s="177">
        <f t="shared" si="28"/>
        <v>-2061.73</v>
      </c>
      <c r="DD39" s="178">
        <f t="shared" si="29"/>
        <v>851830.66999999993</v>
      </c>
      <c r="DE39" s="176">
        <f t="shared" si="30"/>
        <v>897792.11470000003</v>
      </c>
      <c r="DF39" s="176">
        <f t="shared" si="31"/>
        <v>865576.26997136406</v>
      </c>
      <c r="DG39" s="176">
        <f t="shared" si="32"/>
        <v>854448.01</v>
      </c>
      <c r="DH39" s="177">
        <f t="shared" si="33"/>
        <v>11128.26</v>
      </c>
    </row>
    <row r="40" spans="1:112" x14ac:dyDescent="0.3">
      <c r="A40" s="97" t="s">
        <v>51</v>
      </c>
      <c r="B40" s="115">
        <v>8</v>
      </c>
      <c r="C40" s="166">
        <v>17420.96</v>
      </c>
      <c r="D40" s="167">
        <v>17202.57</v>
      </c>
      <c r="E40" s="168">
        <v>17202.57</v>
      </c>
      <c r="F40" s="168">
        <v>14666.2</v>
      </c>
      <c r="G40" s="169">
        <f t="shared" si="2"/>
        <v>2536.37</v>
      </c>
      <c r="H40" s="170">
        <v>16622.530000000002</v>
      </c>
      <c r="I40" s="168">
        <v>15759.47</v>
      </c>
      <c r="J40" s="168">
        <v>15759.473947024202</v>
      </c>
      <c r="K40" s="168">
        <v>20049.55</v>
      </c>
      <c r="L40" s="171">
        <f t="shared" si="0"/>
        <v>-4290.08</v>
      </c>
      <c r="M40" s="168">
        <v>17031.75</v>
      </c>
      <c r="N40" s="168">
        <v>14495.380000000001</v>
      </c>
      <c r="O40" s="168">
        <v>14495.380000000001</v>
      </c>
      <c r="P40" s="168">
        <v>17427.010000000002</v>
      </c>
      <c r="Q40" s="171">
        <f t="shared" si="3"/>
        <v>-2931.63</v>
      </c>
      <c r="R40" s="168">
        <v>21180.39</v>
      </c>
      <c r="S40" s="168">
        <v>28322.97435</v>
      </c>
      <c r="T40" s="168">
        <v>28322.974349999997</v>
      </c>
      <c r="U40" s="168">
        <v>19947.249999999996</v>
      </c>
      <c r="V40" s="171">
        <f t="shared" si="4"/>
        <v>8375.7199999999993</v>
      </c>
      <c r="W40" s="168">
        <v>17060</v>
      </c>
      <c r="X40" s="168">
        <v>16735.86</v>
      </c>
      <c r="Y40" s="168">
        <v>16735.86</v>
      </c>
      <c r="Z40" s="168">
        <v>17401.800000000003</v>
      </c>
      <c r="AA40" s="171">
        <f t="shared" si="5"/>
        <v>-665.94</v>
      </c>
      <c r="AB40" s="172">
        <f t="shared" si="6"/>
        <v>71894.67</v>
      </c>
      <c r="AC40" s="172">
        <f t="shared" si="6"/>
        <v>75313.684349999996</v>
      </c>
      <c r="AD40" s="172">
        <f t="shared" si="6"/>
        <v>75313.6882970242</v>
      </c>
      <c r="AE40" s="172">
        <f t="shared" si="6"/>
        <v>74825.61</v>
      </c>
      <c r="AF40" s="173">
        <f t="shared" si="7"/>
        <v>488.08</v>
      </c>
      <c r="AG40" s="170">
        <v>17316</v>
      </c>
      <c r="AH40" s="168">
        <v>13625.619999999999</v>
      </c>
      <c r="AI40" s="168">
        <v>13625.619999999999</v>
      </c>
      <c r="AJ40" s="168">
        <v>14993.33</v>
      </c>
      <c r="AK40" s="171">
        <f t="shared" si="8"/>
        <v>-1367.71</v>
      </c>
      <c r="AL40" s="168">
        <v>18736</v>
      </c>
      <c r="AM40" s="168">
        <v>18426.72</v>
      </c>
      <c r="AN40" s="168">
        <v>18426.72</v>
      </c>
      <c r="AO40" s="168">
        <v>13375.01</v>
      </c>
      <c r="AP40" s="171">
        <f t="shared" si="9"/>
        <v>5051.71</v>
      </c>
      <c r="AQ40" s="168">
        <v>15287</v>
      </c>
      <c r="AR40" s="168">
        <v>8578.56</v>
      </c>
      <c r="AS40" s="168">
        <v>8491.4488751015797</v>
      </c>
      <c r="AT40" s="168">
        <v>16779.669999999998</v>
      </c>
      <c r="AU40" s="171">
        <f t="shared" si="10"/>
        <v>-8288.2199999999993</v>
      </c>
      <c r="AV40" s="168">
        <v>14612</v>
      </c>
      <c r="AW40" s="168">
        <v>14699.05</v>
      </c>
      <c r="AX40" s="168">
        <v>14150.91</v>
      </c>
      <c r="AY40" s="171">
        <v>17083.120000000003</v>
      </c>
      <c r="AZ40" s="171">
        <f t="shared" si="11"/>
        <v>-2932.21</v>
      </c>
      <c r="BA40" s="172">
        <f t="shared" si="12"/>
        <v>65951</v>
      </c>
      <c r="BB40" s="172">
        <f t="shared" si="12"/>
        <v>55329.95</v>
      </c>
      <c r="BC40" s="172">
        <f t="shared" si="12"/>
        <v>54694.698875101574</v>
      </c>
      <c r="BD40" s="172">
        <f t="shared" si="12"/>
        <v>62231.13</v>
      </c>
      <c r="BE40" s="173">
        <f t="shared" si="13"/>
        <v>-7536.43</v>
      </c>
      <c r="BF40" s="170">
        <v>14993</v>
      </c>
      <c r="BG40" s="168">
        <v>23829.360000000001</v>
      </c>
      <c r="BH40" s="168">
        <v>22004.619482905397</v>
      </c>
      <c r="BI40" s="174">
        <v>15720.570000000002</v>
      </c>
      <c r="BJ40" s="168">
        <f t="shared" si="14"/>
        <v>6284.05</v>
      </c>
      <c r="BK40" s="168">
        <v>16293</v>
      </c>
      <c r="BL40" s="168">
        <v>12293.07</v>
      </c>
      <c r="BM40" s="168">
        <v>11556.937326499685</v>
      </c>
      <c r="BN40" s="171">
        <v>14452.72</v>
      </c>
      <c r="BO40" s="168">
        <f t="shared" si="15"/>
        <v>-2895.78</v>
      </c>
      <c r="BP40" s="175">
        <v>16779</v>
      </c>
      <c r="BQ40" s="175">
        <v>12930.46</v>
      </c>
      <c r="BR40" s="248">
        <v>12491.43</v>
      </c>
      <c r="BS40" s="247">
        <v>19199.75</v>
      </c>
      <c r="BT40" s="175">
        <f t="shared" si="16"/>
        <v>-6708.32</v>
      </c>
      <c r="BU40" s="175">
        <v>17135</v>
      </c>
      <c r="BV40" s="175">
        <v>25680.35</v>
      </c>
      <c r="BW40" s="248">
        <v>22130.33</v>
      </c>
      <c r="BX40" s="247">
        <v>14678.54</v>
      </c>
      <c r="BY40" s="175">
        <f t="shared" si="17"/>
        <v>7451.79</v>
      </c>
      <c r="BZ40" s="176">
        <f t="shared" si="18"/>
        <v>65200</v>
      </c>
      <c r="CA40" s="176">
        <f t="shared" si="18"/>
        <v>74733.239999999991</v>
      </c>
      <c r="CB40" s="176">
        <f t="shared" si="18"/>
        <v>68183.316809405078</v>
      </c>
      <c r="CC40" s="176">
        <f t="shared" si="18"/>
        <v>64051.58</v>
      </c>
      <c r="CD40" s="177">
        <f t="shared" si="19"/>
        <v>4131.74</v>
      </c>
      <c r="CE40" s="170">
        <v>15698</v>
      </c>
      <c r="CF40" s="168">
        <v>13239.28</v>
      </c>
      <c r="CG40" s="168">
        <v>11539.34</v>
      </c>
      <c r="CH40" s="174">
        <v>0</v>
      </c>
      <c r="CI40" s="168">
        <f t="shared" si="20"/>
        <v>11539.34</v>
      </c>
      <c r="CJ40" s="168"/>
      <c r="CK40" s="168"/>
      <c r="CL40" s="168"/>
      <c r="CM40" s="171"/>
      <c r="CN40" s="168">
        <f t="shared" si="21"/>
        <v>0</v>
      </c>
      <c r="CO40" s="175"/>
      <c r="CP40" s="175"/>
      <c r="CQ40" s="248"/>
      <c r="CR40" s="247"/>
      <c r="CS40" s="175">
        <f t="shared" si="22"/>
        <v>0</v>
      </c>
      <c r="CT40" s="175"/>
      <c r="CU40" s="175"/>
      <c r="CV40" s="248"/>
      <c r="CW40" s="247"/>
      <c r="CX40" s="175">
        <f t="shared" si="23"/>
        <v>0</v>
      </c>
      <c r="CY40" s="176">
        <f t="shared" si="24"/>
        <v>15698</v>
      </c>
      <c r="CZ40" s="176">
        <f t="shared" si="25"/>
        <v>13239.28</v>
      </c>
      <c r="DA40" s="176">
        <f t="shared" si="34"/>
        <v>11539.34</v>
      </c>
      <c r="DB40" s="176">
        <f t="shared" si="27"/>
        <v>0</v>
      </c>
      <c r="DC40" s="177">
        <f t="shared" si="28"/>
        <v>11539.34</v>
      </c>
      <c r="DD40" s="178">
        <f t="shared" si="29"/>
        <v>236164.63</v>
      </c>
      <c r="DE40" s="176">
        <f t="shared" si="30"/>
        <v>235818.72435</v>
      </c>
      <c r="DF40" s="176">
        <f t="shared" si="31"/>
        <v>226933.61398153086</v>
      </c>
      <c r="DG40" s="176">
        <f t="shared" si="32"/>
        <v>215774.52000000002</v>
      </c>
      <c r="DH40" s="177">
        <f t="shared" si="33"/>
        <v>11159.09</v>
      </c>
    </row>
    <row r="41" spans="1:112" x14ac:dyDescent="0.3">
      <c r="A41" s="97" t="s">
        <v>52</v>
      </c>
      <c r="B41" s="115">
        <v>4</v>
      </c>
      <c r="C41" s="166">
        <v>2867.98</v>
      </c>
      <c r="D41" s="167">
        <v>2832.03</v>
      </c>
      <c r="E41" s="168">
        <v>2832.03</v>
      </c>
      <c r="F41" s="168">
        <v>3111.05</v>
      </c>
      <c r="G41" s="169">
        <f t="shared" si="2"/>
        <v>-279.02</v>
      </c>
      <c r="H41" s="170">
        <v>2461</v>
      </c>
      <c r="I41" s="168">
        <v>2333.2199999999998</v>
      </c>
      <c r="J41" s="168">
        <v>2333.22276354</v>
      </c>
      <c r="K41" s="168">
        <v>1558.6599999999999</v>
      </c>
      <c r="L41" s="171">
        <f t="shared" si="0"/>
        <v>774.56</v>
      </c>
      <c r="M41" s="168">
        <v>2327</v>
      </c>
      <c r="N41" s="168">
        <v>2327</v>
      </c>
      <c r="O41" s="168">
        <v>2327</v>
      </c>
      <c r="P41" s="168">
        <v>2403.86</v>
      </c>
      <c r="Q41" s="171">
        <f t="shared" si="3"/>
        <v>-76.86</v>
      </c>
      <c r="R41" s="168">
        <v>2069</v>
      </c>
      <c r="S41" s="168">
        <v>1803.7997600000001</v>
      </c>
      <c r="T41" s="168">
        <v>1803.7997600000001</v>
      </c>
      <c r="U41" s="168">
        <v>1691.09</v>
      </c>
      <c r="V41" s="171">
        <f t="shared" si="4"/>
        <v>112.71</v>
      </c>
      <c r="W41" s="168">
        <v>2268</v>
      </c>
      <c r="X41" s="168">
        <v>2224.91</v>
      </c>
      <c r="Y41" s="168">
        <v>2224.91</v>
      </c>
      <c r="Z41" s="168">
        <v>3065.37</v>
      </c>
      <c r="AA41" s="171">
        <f t="shared" si="5"/>
        <v>-840.46</v>
      </c>
      <c r="AB41" s="172">
        <f t="shared" si="6"/>
        <v>9125</v>
      </c>
      <c r="AC41" s="172">
        <f t="shared" si="6"/>
        <v>8688.9297599999991</v>
      </c>
      <c r="AD41" s="172">
        <f t="shared" si="6"/>
        <v>8688.9325235399992</v>
      </c>
      <c r="AE41" s="172">
        <f t="shared" si="6"/>
        <v>8718.98</v>
      </c>
      <c r="AF41" s="173">
        <f t="shared" si="7"/>
        <v>-30.05</v>
      </c>
      <c r="AG41" s="170">
        <v>2101</v>
      </c>
      <c r="AH41" s="168">
        <v>1569.6100000000001</v>
      </c>
      <c r="AI41" s="168">
        <v>1569.6100000000001</v>
      </c>
      <c r="AJ41" s="168">
        <v>2112.98</v>
      </c>
      <c r="AK41" s="171">
        <f t="shared" si="8"/>
        <v>-543.37</v>
      </c>
      <c r="AL41" s="168">
        <v>2518</v>
      </c>
      <c r="AM41" s="168">
        <v>3549.45</v>
      </c>
      <c r="AN41" s="168">
        <v>3549.45</v>
      </c>
      <c r="AO41" s="168">
        <v>4320.1499999999996</v>
      </c>
      <c r="AP41" s="171">
        <f t="shared" si="9"/>
        <v>-770.7</v>
      </c>
      <c r="AQ41" s="168">
        <v>3972</v>
      </c>
      <c r="AR41" s="168">
        <v>5595.14</v>
      </c>
      <c r="AS41" s="168">
        <v>5538.3240612685404</v>
      </c>
      <c r="AT41" s="168">
        <v>2681.74</v>
      </c>
      <c r="AU41" s="171">
        <f t="shared" si="10"/>
        <v>2856.58</v>
      </c>
      <c r="AV41" s="168">
        <v>3578</v>
      </c>
      <c r="AW41" s="168">
        <v>2703.83</v>
      </c>
      <c r="AX41" s="168">
        <v>2603</v>
      </c>
      <c r="AY41" s="171">
        <v>2850.55</v>
      </c>
      <c r="AZ41" s="171">
        <f t="shared" si="11"/>
        <v>-247.55</v>
      </c>
      <c r="BA41" s="172">
        <f t="shared" si="12"/>
        <v>12169</v>
      </c>
      <c r="BB41" s="172">
        <f t="shared" si="12"/>
        <v>13418.03</v>
      </c>
      <c r="BC41" s="172">
        <f t="shared" si="12"/>
        <v>13260.38406126854</v>
      </c>
      <c r="BD41" s="172">
        <f t="shared" si="12"/>
        <v>11965.419999999998</v>
      </c>
      <c r="BE41" s="173">
        <f t="shared" si="13"/>
        <v>1294.96</v>
      </c>
      <c r="BF41" s="170">
        <v>3584</v>
      </c>
      <c r="BG41" s="168">
        <v>1344.2399999999998</v>
      </c>
      <c r="BH41" s="168">
        <v>1241.3044116040357</v>
      </c>
      <c r="BI41" s="174">
        <v>1732.95</v>
      </c>
      <c r="BJ41" s="168">
        <f t="shared" si="14"/>
        <v>-491.65</v>
      </c>
      <c r="BK41" s="168">
        <v>3375</v>
      </c>
      <c r="BL41" s="168">
        <v>3940.25</v>
      </c>
      <c r="BM41" s="168">
        <v>3704.3002521534804</v>
      </c>
      <c r="BN41" s="171">
        <v>1704.32</v>
      </c>
      <c r="BO41" s="168">
        <f t="shared" si="15"/>
        <v>1999.98</v>
      </c>
      <c r="BP41" s="175">
        <v>3045</v>
      </c>
      <c r="BQ41" s="175">
        <v>2060.39</v>
      </c>
      <c r="BR41" s="248">
        <v>1990.43</v>
      </c>
      <c r="BS41" s="247">
        <v>2841.24</v>
      </c>
      <c r="BT41" s="175">
        <f t="shared" si="16"/>
        <v>-850.81</v>
      </c>
      <c r="BU41" s="175">
        <v>2958</v>
      </c>
      <c r="BV41" s="175">
        <v>1934.8600000000001</v>
      </c>
      <c r="BW41" s="248">
        <v>1667.39</v>
      </c>
      <c r="BX41" s="247">
        <v>2531.1</v>
      </c>
      <c r="BY41" s="175">
        <f t="shared" si="17"/>
        <v>-863.71</v>
      </c>
      <c r="BZ41" s="176">
        <f t="shared" si="18"/>
        <v>12962</v>
      </c>
      <c r="CA41" s="176">
        <f t="shared" si="18"/>
        <v>9279.74</v>
      </c>
      <c r="CB41" s="176">
        <f t="shared" si="18"/>
        <v>8603.4246637575161</v>
      </c>
      <c r="CC41" s="176">
        <f t="shared" si="18"/>
        <v>8809.61</v>
      </c>
      <c r="CD41" s="177">
        <f t="shared" si="19"/>
        <v>-206.19</v>
      </c>
      <c r="CE41" s="170">
        <v>2664</v>
      </c>
      <c r="CF41" s="168">
        <v>3795.6400000000003</v>
      </c>
      <c r="CG41" s="168">
        <v>3308.28</v>
      </c>
      <c r="CH41" s="174">
        <v>2981.82</v>
      </c>
      <c r="CI41" s="168">
        <f t="shared" si="20"/>
        <v>326.45999999999998</v>
      </c>
      <c r="CJ41" s="168"/>
      <c r="CK41" s="168"/>
      <c r="CL41" s="168"/>
      <c r="CM41" s="171"/>
      <c r="CN41" s="168">
        <f t="shared" si="21"/>
        <v>0</v>
      </c>
      <c r="CO41" s="175"/>
      <c r="CP41" s="175"/>
      <c r="CQ41" s="248"/>
      <c r="CR41" s="247"/>
      <c r="CS41" s="175">
        <f t="shared" si="22"/>
        <v>0</v>
      </c>
      <c r="CT41" s="175"/>
      <c r="CU41" s="175"/>
      <c r="CV41" s="248"/>
      <c r="CW41" s="247"/>
      <c r="CX41" s="175">
        <f t="shared" si="23"/>
        <v>0</v>
      </c>
      <c r="CY41" s="176">
        <f t="shared" si="24"/>
        <v>2664</v>
      </c>
      <c r="CZ41" s="176">
        <f t="shared" si="25"/>
        <v>3795.6400000000003</v>
      </c>
      <c r="DA41" s="176">
        <f t="shared" si="34"/>
        <v>3308.28</v>
      </c>
      <c r="DB41" s="176">
        <f t="shared" si="27"/>
        <v>2981.82</v>
      </c>
      <c r="DC41" s="177">
        <f t="shared" si="28"/>
        <v>326.45999999999998</v>
      </c>
      <c r="DD41" s="178">
        <f t="shared" si="29"/>
        <v>39787.979999999996</v>
      </c>
      <c r="DE41" s="176">
        <f t="shared" si="30"/>
        <v>38014.369760000001</v>
      </c>
      <c r="DF41" s="176">
        <f t="shared" si="31"/>
        <v>36693.051248566058</v>
      </c>
      <c r="DG41" s="176">
        <f t="shared" si="32"/>
        <v>35586.879999999997</v>
      </c>
      <c r="DH41" s="177">
        <f t="shared" si="33"/>
        <v>1106.17</v>
      </c>
    </row>
    <row r="42" spans="1:112" x14ac:dyDescent="0.3">
      <c r="A42" s="97" t="s">
        <v>53</v>
      </c>
      <c r="B42" s="115">
        <v>1</v>
      </c>
      <c r="C42" s="166">
        <v>1543</v>
      </c>
      <c r="D42" s="167">
        <v>1523.66</v>
      </c>
      <c r="E42" s="168">
        <v>1523.66</v>
      </c>
      <c r="F42" s="168">
        <v>1320.18</v>
      </c>
      <c r="G42" s="169">
        <f t="shared" si="2"/>
        <v>203.48</v>
      </c>
      <c r="H42" s="170">
        <v>4107</v>
      </c>
      <c r="I42" s="168">
        <v>3893.76</v>
      </c>
      <c r="J42" s="168">
        <v>3893.7610279800001</v>
      </c>
      <c r="K42" s="168">
        <v>1643.27</v>
      </c>
      <c r="L42" s="171">
        <f t="shared" si="0"/>
        <v>2250.4899999999998</v>
      </c>
      <c r="M42" s="168">
        <v>4107</v>
      </c>
      <c r="N42" s="168">
        <v>3903.52</v>
      </c>
      <c r="O42" s="168">
        <v>3903.52</v>
      </c>
      <c r="P42" s="168">
        <v>2145.2200000000003</v>
      </c>
      <c r="Q42" s="171">
        <f t="shared" si="3"/>
        <v>1758.3</v>
      </c>
      <c r="R42" s="168">
        <v>4107</v>
      </c>
      <c r="S42" s="168">
        <v>0</v>
      </c>
      <c r="T42" s="168">
        <v>0</v>
      </c>
      <c r="U42" s="168">
        <v>2143.42</v>
      </c>
      <c r="V42" s="171">
        <f t="shared" si="4"/>
        <v>-2143.42</v>
      </c>
      <c r="W42" s="168">
        <v>2458.42</v>
      </c>
      <c r="X42" s="168">
        <v>2411.71</v>
      </c>
      <c r="Y42" s="168">
        <v>2411.71</v>
      </c>
      <c r="Z42" s="168">
        <v>2051.6</v>
      </c>
      <c r="AA42" s="171">
        <f t="shared" si="5"/>
        <v>360.11</v>
      </c>
      <c r="AB42" s="172">
        <f t="shared" si="6"/>
        <v>14779.42</v>
      </c>
      <c r="AC42" s="172">
        <f t="shared" si="6"/>
        <v>10208.990000000002</v>
      </c>
      <c r="AD42" s="172">
        <f t="shared" si="6"/>
        <v>10208.991027979999</v>
      </c>
      <c r="AE42" s="172">
        <f t="shared" si="6"/>
        <v>7983.51</v>
      </c>
      <c r="AF42" s="173">
        <f t="shared" si="7"/>
        <v>2225.48</v>
      </c>
      <c r="AG42" s="170">
        <v>2463</v>
      </c>
      <c r="AH42" s="168">
        <v>394.15000000000009</v>
      </c>
      <c r="AI42" s="168">
        <v>394.15000000000009</v>
      </c>
      <c r="AJ42" s="168">
        <v>2413.75</v>
      </c>
      <c r="AK42" s="171">
        <f t="shared" si="8"/>
        <v>-2019.6</v>
      </c>
      <c r="AL42" s="168">
        <v>6343</v>
      </c>
      <c r="AM42" s="168">
        <v>6797.54</v>
      </c>
      <c r="AN42" s="168">
        <v>6797.54</v>
      </c>
      <c r="AO42" s="168">
        <v>3877.54</v>
      </c>
      <c r="AP42" s="171">
        <f t="shared" si="9"/>
        <v>2920</v>
      </c>
      <c r="AQ42" s="168">
        <v>8510</v>
      </c>
      <c r="AR42" s="168">
        <v>5180.6400000000003</v>
      </c>
      <c r="AS42" s="168">
        <v>5128.0331081564082</v>
      </c>
      <c r="AT42" s="168">
        <v>2924.38</v>
      </c>
      <c r="AU42" s="171">
        <f t="shared" si="10"/>
        <v>2203.65</v>
      </c>
      <c r="AV42" s="168">
        <v>6875</v>
      </c>
      <c r="AW42" s="168">
        <v>1484.9799999999996</v>
      </c>
      <c r="AX42" s="168">
        <v>1429.5999999999995</v>
      </c>
      <c r="AY42" s="171">
        <v>1795.23</v>
      </c>
      <c r="AZ42" s="171">
        <f t="shared" si="11"/>
        <v>-365.63</v>
      </c>
      <c r="BA42" s="172">
        <f t="shared" si="12"/>
        <v>24191</v>
      </c>
      <c r="BB42" s="172">
        <f t="shared" si="12"/>
        <v>13857.310000000001</v>
      </c>
      <c r="BC42" s="172">
        <f t="shared" si="12"/>
        <v>13749.323108156408</v>
      </c>
      <c r="BD42" s="172">
        <f t="shared" si="12"/>
        <v>11010.9</v>
      </c>
      <c r="BE42" s="173">
        <f t="shared" si="13"/>
        <v>2738.42</v>
      </c>
      <c r="BF42" s="170">
        <v>7055</v>
      </c>
      <c r="BG42" s="168">
        <v>5011.22</v>
      </c>
      <c r="BH42" s="168">
        <v>4627.4842985764271</v>
      </c>
      <c r="BI42" s="174">
        <v>2583.27</v>
      </c>
      <c r="BJ42" s="168">
        <f t="shared" si="14"/>
        <v>2044.21</v>
      </c>
      <c r="BK42" s="168">
        <v>7768</v>
      </c>
      <c r="BL42" s="168">
        <v>9411.36</v>
      </c>
      <c r="BM42" s="168">
        <v>8847.7896633734363</v>
      </c>
      <c r="BN42" s="171">
        <v>1477.86</v>
      </c>
      <c r="BO42" s="168">
        <f t="shared" si="15"/>
        <v>7369.93</v>
      </c>
      <c r="BP42" s="175">
        <v>7210</v>
      </c>
      <c r="BQ42" s="175">
        <v>0</v>
      </c>
      <c r="BR42" s="248">
        <v>0</v>
      </c>
      <c r="BS42" s="247">
        <v>2188.4</v>
      </c>
      <c r="BT42" s="175">
        <f t="shared" si="16"/>
        <v>-2188.4</v>
      </c>
      <c r="BU42" s="175">
        <v>5746</v>
      </c>
      <c r="BV42" s="175">
        <v>1311.1499999999996</v>
      </c>
      <c r="BW42" s="248">
        <v>1129.9000000000001</v>
      </c>
      <c r="BX42" s="247">
        <v>2800.58</v>
      </c>
      <c r="BY42" s="175">
        <f t="shared" si="17"/>
        <v>-1670.68</v>
      </c>
      <c r="BZ42" s="176">
        <f t="shared" si="18"/>
        <v>27779</v>
      </c>
      <c r="CA42" s="176">
        <f t="shared" si="18"/>
        <v>15733.730000000001</v>
      </c>
      <c r="CB42" s="176">
        <f t="shared" si="18"/>
        <v>14605.173961949864</v>
      </c>
      <c r="CC42" s="176">
        <f t="shared" si="18"/>
        <v>9050.11</v>
      </c>
      <c r="CD42" s="177">
        <f t="shared" si="19"/>
        <v>5555.06</v>
      </c>
      <c r="CE42" s="170">
        <v>3393</v>
      </c>
      <c r="CF42" s="168">
        <v>7639.82</v>
      </c>
      <c r="CG42" s="168">
        <v>6658.86</v>
      </c>
      <c r="CH42" s="174">
        <v>3602.5299999999997</v>
      </c>
      <c r="CI42" s="168">
        <f t="shared" si="20"/>
        <v>3056.33</v>
      </c>
      <c r="CJ42" s="168"/>
      <c r="CK42" s="168"/>
      <c r="CL42" s="168"/>
      <c r="CM42" s="171"/>
      <c r="CN42" s="168">
        <f t="shared" si="21"/>
        <v>0</v>
      </c>
      <c r="CO42" s="175"/>
      <c r="CP42" s="175"/>
      <c r="CQ42" s="248"/>
      <c r="CR42" s="247"/>
      <c r="CS42" s="175">
        <f t="shared" si="22"/>
        <v>0</v>
      </c>
      <c r="CT42" s="175"/>
      <c r="CU42" s="175"/>
      <c r="CV42" s="248"/>
      <c r="CW42" s="247"/>
      <c r="CX42" s="175">
        <f t="shared" si="23"/>
        <v>0</v>
      </c>
      <c r="CY42" s="176">
        <f t="shared" si="24"/>
        <v>3393</v>
      </c>
      <c r="CZ42" s="176">
        <f t="shared" si="25"/>
        <v>7639.82</v>
      </c>
      <c r="DA42" s="176">
        <f t="shared" si="34"/>
        <v>6658.86</v>
      </c>
      <c r="DB42" s="176">
        <f t="shared" si="27"/>
        <v>3602.5299999999997</v>
      </c>
      <c r="DC42" s="177">
        <f t="shared" si="28"/>
        <v>3056.33</v>
      </c>
      <c r="DD42" s="178">
        <f t="shared" si="29"/>
        <v>71685.42</v>
      </c>
      <c r="DE42" s="176">
        <f t="shared" si="30"/>
        <v>48963.51</v>
      </c>
      <c r="DF42" s="176">
        <f t="shared" si="31"/>
        <v>46746.008098086269</v>
      </c>
      <c r="DG42" s="176">
        <f t="shared" si="32"/>
        <v>32967.230000000003</v>
      </c>
      <c r="DH42" s="177">
        <f t="shared" si="33"/>
        <v>13778.78</v>
      </c>
    </row>
    <row r="43" spans="1:112" x14ac:dyDescent="0.3">
      <c r="A43" s="97" t="s">
        <v>54</v>
      </c>
      <c r="B43" s="115">
        <v>2</v>
      </c>
      <c r="C43" s="166">
        <v>39331.64</v>
      </c>
      <c r="D43" s="167">
        <v>38838.589999999997</v>
      </c>
      <c r="E43" s="168">
        <v>38838.589999999997</v>
      </c>
      <c r="F43" s="168">
        <v>18573.900000000001</v>
      </c>
      <c r="G43" s="169">
        <f t="shared" si="2"/>
        <v>20264.689999999999</v>
      </c>
      <c r="H43" s="170">
        <v>36193.74</v>
      </c>
      <c r="I43" s="168">
        <v>34314.53</v>
      </c>
      <c r="J43" s="168">
        <v>34314.529892583596</v>
      </c>
      <c r="K43" s="168">
        <v>32164.400000000001</v>
      </c>
      <c r="L43" s="171">
        <f t="shared" si="0"/>
        <v>2150.13</v>
      </c>
      <c r="M43" s="168">
        <v>35544</v>
      </c>
      <c r="N43" s="168">
        <v>29279.31</v>
      </c>
      <c r="O43" s="168">
        <v>29279.31</v>
      </c>
      <c r="P43" s="168">
        <v>34691.340000000004</v>
      </c>
      <c r="Q43" s="171">
        <f t="shared" si="3"/>
        <v>-5412.03</v>
      </c>
      <c r="R43" s="168">
        <v>35085</v>
      </c>
      <c r="S43" s="168">
        <v>35065.855530000001</v>
      </c>
      <c r="T43" s="168">
        <v>35065.855530000001</v>
      </c>
      <c r="U43" s="168">
        <v>52861.649999999994</v>
      </c>
      <c r="V43" s="171">
        <f t="shared" si="4"/>
        <v>-17795.79</v>
      </c>
      <c r="W43" s="168">
        <v>35254.959999999999</v>
      </c>
      <c r="X43" s="168">
        <v>34585.120000000003</v>
      </c>
      <c r="Y43" s="168">
        <v>34585.120000000003</v>
      </c>
      <c r="Z43" s="168">
        <v>36531.15</v>
      </c>
      <c r="AA43" s="171">
        <f t="shared" si="5"/>
        <v>-1946.03</v>
      </c>
      <c r="AB43" s="172">
        <f t="shared" si="6"/>
        <v>142077.69999999998</v>
      </c>
      <c r="AC43" s="172">
        <f t="shared" si="6"/>
        <v>133244.81552999999</v>
      </c>
      <c r="AD43" s="172">
        <f t="shared" si="6"/>
        <v>133244.8154225836</v>
      </c>
      <c r="AE43" s="172">
        <f t="shared" si="6"/>
        <v>156248.54</v>
      </c>
      <c r="AF43" s="173">
        <f t="shared" si="7"/>
        <v>-23003.72</v>
      </c>
      <c r="AG43" s="170">
        <v>36771</v>
      </c>
      <c r="AH43" s="168">
        <v>51564</v>
      </c>
      <c r="AI43" s="168">
        <v>51564</v>
      </c>
      <c r="AJ43" s="168">
        <v>41821.69</v>
      </c>
      <c r="AK43" s="171">
        <f t="shared" si="8"/>
        <v>9742.31</v>
      </c>
      <c r="AL43" s="168">
        <v>35332</v>
      </c>
      <c r="AM43" s="168">
        <v>41376.239999999998</v>
      </c>
      <c r="AN43" s="168">
        <v>41376.239999999998</v>
      </c>
      <c r="AO43" s="168">
        <v>31797.809999999998</v>
      </c>
      <c r="AP43" s="171">
        <f t="shared" si="9"/>
        <v>9578.43</v>
      </c>
      <c r="AQ43" s="168">
        <v>37088</v>
      </c>
      <c r="AR43" s="168">
        <v>34506.29</v>
      </c>
      <c r="AS43" s="168">
        <v>34155.895325605801</v>
      </c>
      <c r="AT43" s="168">
        <v>36444.089999999997</v>
      </c>
      <c r="AU43" s="171">
        <f t="shared" si="10"/>
        <v>-2288.19</v>
      </c>
      <c r="AV43" s="168">
        <v>38175</v>
      </c>
      <c r="AW43" s="168">
        <v>36057.730000000003</v>
      </c>
      <c r="AX43" s="168">
        <v>34713.11</v>
      </c>
      <c r="AY43" s="171">
        <v>31602.720000000001</v>
      </c>
      <c r="AZ43" s="171">
        <f t="shared" si="11"/>
        <v>3110.39</v>
      </c>
      <c r="BA43" s="172">
        <f t="shared" si="12"/>
        <v>147366</v>
      </c>
      <c r="BB43" s="172">
        <f t="shared" si="12"/>
        <v>163504.26</v>
      </c>
      <c r="BC43" s="172">
        <f t="shared" si="12"/>
        <v>161809.24532560579</v>
      </c>
      <c r="BD43" s="172">
        <f t="shared" si="12"/>
        <v>141666.31</v>
      </c>
      <c r="BE43" s="173">
        <f t="shared" si="13"/>
        <v>20142.939999999999</v>
      </c>
      <c r="BF43" s="170">
        <v>35980</v>
      </c>
      <c r="BG43" s="168">
        <v>35431.730000000003</v>
      </c>
      <c r="BH43" s="168">
        <v>32718.534457956219</v>
      </c>
      <c r="BI43" s="174">
        <v>28125.25</v>
      </c>
      <c r="BJ43" s="168">
        <f t="shared" si="14"/>
        <v>4593.28</v>
      </c>
      <c r="BK43" s="168">
        <v>35898</v>
      </c>
      <c r="BL43" s="168">
        <v>33170.06</v>
      </c>
      <c r="BM43" s="168">
        <v>31183.773014896531</v>
      </c>
      <c r="BN43" s="171">
        <v>33825.020000000004</v>
      </c>
      <c r="BO43" s="168">
        <f t="shared" si="15"/>
        <v>-2641.25</v>
      </c>
      <c r="BP43" s="175">
        <v>35048</v>
      </c>
      <c r="BQ43" s="175">
        <v>35048</v>
      </c>
      <c r="BR43" s="248">
        <v>33858.019999999997</v>
      </c>
      <c r="BS43" s="247">
        <v>35777.519999999997</v>
      </c>
      <c r="BT43" s="175">
        <f t="shared" si="16"/>
        <v>-1919.5</v>
      </c>
      <c r="BU43" s="175">
        <v>35698</v>
      </c>
      <c r="BV43" s="175">
        <v>42677.47</v>
      </c>
      <c r="BW43" s="248">
        <v>36777.79</v>
      </c>
      <c r="BX43" s="247">
        <v>36204.300000000003</v>
      </c>
      <c r="BY43" s="175">
        <f t="shared" si="17"/>
        <v>573.49</v>
      </c>
      <c r="BZ43" s="176">
        <f t="shared" si="18"/>
        <v>142624</v>
      </c>
      <c r="CA43" s="176">
        <f t="shared" si="18"/>
        <v>146327.26</v>
      </c>
      <c r="CB43" s="176">
        <f t="shared" si="18"/>
        <v>134538.11747285275</v>
      </c>
      <c r="CC43" s="176">
        <f t="shared" si="18"/>
        <v>133932.09000000003</v>
      </c>
      <c r="CD43" s="177">
        <f t="shared" si="19"/>
        <v>606.03</v>
      </c>
      <c r="CE43" s="170">
        <v>34964</v>
      </c>
      <c r="CF43" s="168">
        <v>34938.5</v>
      </c>
      <c r="CG43" s="168">
        <v>30452.36</v>
      </c>
      <c r="CH43" s="174">
        <v>30596.120000000003</v>
      </c>
      <c r="CI43" s="168">
        <f t="shared" si="20"/>
        <v>-143.76</v>
      </c>
      <c r="CJ43" s="168"/>
      <c r="CK43" s="168"/>
      <c r="CL43" s="168"/>
      <c r="CM43" s="171"/>
      <c r="CN43" s="168">
        <f t="shared" si="21"/>
        <v>0</v>
      </c>
      <c r="CO43" s="175"/>
      <c r="CP43" s="175"/>
      <c r="CQ43" s="248"/>
      <c r="CR43" s="247"/>
      <c r="CS43" s="175">
        <f t="shared" si="22"/>
        <v>0</v>
      </c>
      <c r="CT43" s="175"/>
      <c r="CU43" s="175"/>
      <c r="CV43" s="248"/>
      <c r="CW43" s="247"/>
      <c r="CX43" s="175">
        <f t="shared" si="23"/>
        <v>0</v>
      </c>
      <c r="CY43" s="176">
        <f t="shared" si="24"/>
        <v>34964</v>
      </c>
      <c r="CZ43" s="176">
        <f t="shared" si="25"/>
        <v>34938.5</v>
      </c>
      <c r="DA43" s="176">
        <f t="shared" si="34"/>
        <v>30452.36</v>
      </c>
      <c r="DB43" s="176">
        <f t="shared" si="27"/>
        <v>30596.120000000003</v>
      </c>
      <c r="DC43" s="177">
        <f t="shared" si="28"/>
        <v>-143.76</v>
      </c>
      <c r="DD43" s="178">
        <f t="shared" si="29"/>
        <v>506363.33999999997</v>
      </c>
      <c r="DE43" s="176">
        <f t="shared" si="30"/>
        <v>516853.42553000001</v>
      </c>
      <c r="DF43" s="176">
        <f t="shared" si="31"/>
        <v>498883.12822104216</v>
      </c>
      <c r="DG43" s="176">
        <f t="shared" si="32"/>
        <v>481016.96</v>
      </c>
      <c r="DH43" s="177">
        <f t="shared" si="33"/>
        <v>17866.169999999998</v>
      </c>
    </row>
    <row r="44" spans="1:112" x14ac:dyDescent="0.3">
      <c r="A44" s="97" t="s">
        <v>55</v>
      </c>
      <c r="B44" s="115">
        <v>9</v>
      </c>
      <c r="C44" s="166">
        <v>61316.72</v>
      </c>
      <c r="D44" s="167">
        <v>60548.07</v>
      </c>
      <c r="E44" s="168">
        <v>60548.07</v>
      </c>
      <c r="F44" s="168">
        <v>63141.72</v>
      </c>
      <c r="G44" s="169">
        <f t="shared" si="2"/>
        <v>-2593.65</v>
      </c>
      <c r="H44" s="170">
        <v>61316.72</v>
      </c>
      <c r="I44" s="168">
        <v>58133.1</v>
      </c>
      <c r="J44" s="168">
        <v>58133.103165220804</v>
      </c>
      <c r="K44" s="168">
        <v>47192.819999999992</v>
      </c>
      <c r="L44" s="171">
        <f t="shared" si="0"/>
        <v>10940.28</v>
      </c>
      <c r="M44" s="168">
        <v>63141.72</v>
      </c>
      <c r="N44" s="168">
        <v>63141.72</v>
      </c>
      <c r="O44" s="168">
        <v>63141.72</v>
      </c>
      <c r="P44" s="168">
        <v>52194.96</v>
      </c>
      <c r="Q44" s="171">
        <f t="shared" si="3"/>
        <v>10946.76</v>
      </c>
      <c r="R44" s="168">
        <v>47192.819999999992</v>
      </c>
      <c r="S44" s="168">
        <v>30494.076990000009</v>
      </c>
      <c r="T44" s="168">
        <v>30494.076990000001</v>
      </c>
      <c r="U44" s="168">
        <v>55710.89</v>
      </c>
      <c r="V44" s="171">
        <f t="shared" si="4"/>
        <v>-25216.81</v>
      </c>
      <c r="W44" s="168">
        <v>50836.119999999995</v>
      </c>
      <c r="X44" s="168">
        <v>49870.229999999996</v>
      </c>
      <c r="Y44" s="168">
        <v>49870.229999999996</v>
      </c>
      <c r="Z44" s="168">
        <v>51978.11</v>
      </c>
      <c r="AA44" s="171">
        <f t="shared" si="5"/>
        <v>-2107.88</v>
      </c>
      <c r="AB44" s="172">
        <f t="shared" si="6"/>
        <v>222487.38</v>
      </c>
      <c r="AC44" s="172">
        <f t="shared" si="6"/>
        <v>201639.12699000002</v>
      </c>
      <c r="AD44" s="172">
        <f t="shared" si="6"/>
        <v>201639.1301552208</v>
      </c>
      <c r="AE44" s="172">
        <f t="shared" si="6"/>
        <v>207076.77999999997</v>
      </c>
      <c r="AF44" s="173">
        <f t="shared" si="7"/>
        <v>-5437.65</v>
      </c>
      <c r="AG44" s="170">
        <v>58002</v>
      </c>
      <c r="AH44" s="168">
        <v>63925.42</v>
      </c>
      <c r="AI44" s="168">
        <v>63925.42</v>
      </c>
      <c r="AJ44" s="168">
        <v>61082.249999999993</v>
      </c>
      <c r="AK44" s="171">
        <f t="shared" si="8"/>
        <v>2843.17</v>
      </c>
      <c r="AL44" s="168">
        <v>51979</v>
      </c>
      <c r="AM44" s="168">
        <v>52504.82</v>
      </c>
      <c r="AN44" s="168">
        <v>52504.82</v>
      </c>
      <c r="AO44" s="168">
        <v>47646.65</v>
      </c>
      <c r="AP44" s="171">
        <f t="shared" si="9"/>
        <v>4858.17</v>
      </c>
      <c r="AQ44" s="168">
        <v>54134</v>
      </c>
      <c r="AR44" s="168">
        <v>54463.96</v>
      </c>
      <c r="AS44" s="168">
        <v>53910.904845985504</v>
      </c>
      <c r="AT44" s="168">
        <v>55121.45</v>
      </c>
      <c r="AU44" s="171">
        <f t="shared" si="10"/>
        <v>-1210.55</v>
      </c>
      <c r="AV44" s="168">
        <v>47845</v>
      </c>
      <c r="AW44" s="168">
        <v>48398.06</v>
      </c>
      <c r="AX44" s="168">
        <v>46593.27</v>
      </c>
      <c r="AY44" s="171">
        <v>54590.29</v>
      </c>
      <c r="AZ44" s="171">
        <f t="shared" si="11"/>
        <v>-7997.02</v>
      </c>
      <c r="BA44" s="172">
        <f t="shared" si="12"/>
        <v>211960</v>
      </c>
      <c r="BB44" s="172">
        <f t="shared" si="12"/>
        <v>219292.25999999998</v>
      </c>
      <c r="BC44" s="172">
        <f t="shared" si="12"/>
        <v>216934.41484598548</v>
      </c>
      <c r="BD44" s="172">
        <f t="shared" si="12"/>
        <v>218440.63999999998</v>
      </c>
      <c r="BE44" s="173">
        <f t="shared" si="13"/>
        <v>-1506.23</v>
      </c>
      <c r="BF44" s="170">
        <v>55122</v>
      </c>
      <c r="BG44" s="168">
        <v>49060.7</v>
      </c>
      <c r="BH44" s="168">
        <v>45303.861919286821</v>
      </c>
      <c r="BI44" s="174">
        <v>47978.25</v>
      </c>
      <c r="BJ44" s="168">
        <f t="shared" si="14"/>
        <v>-2674.39</v>
      </c>
      <c r="BK44" s="168">
        <v>54720</v>
      </c>
      <c r="BL44" s="168">
        <v>51907.85</v>
      </c>
      <c r="BM44" s="168">
        <v>48799.508113379867</v>
      </c>
      <c r="BN44" s="171">
        <v>51638.34</v>
      </c>
      <c r="BO44" s="168">
        <f t="shared" si="15"/>
        <v>-2838.83</v>
      </c>
      <c r="BP44" s="175">
        <v>53423</v>
      </c>
      <c r="BQ44" s="175">
        <v>46873.25</v>
      </c>
      <c r="BR44" s="248">
        <v>45281.760000000002</v>
      </c>
      <c r="BS44" s="247">
        <v>64139.689999999995</v>
      </c>
      <c r="BT44" s="175">
        <f t="shared" si="16"/>
        <v>-18857.93</v>
      </c>
      <c r="BU44" s="175">
        <v>64694</v>
      </c>
      <c r="BV44" s="175">
        <v>96843.74</v>
      </c>
      <c r="BW44" s="248">
        <v>83456.179999999993</v>
      </c>
      <c r="BX44" s="247">
        <v>60162.3</v>
      </c>
      <c r="BY44" s="175">
        <f t="shared" si="17"/>
        <v>23293.88</v>
      </c>
      <c r="BZ44" s="176">
        <f t="shared" si="18"/>
        <v>227959</v>
      </c>
      <c r="CA44" s="176">
        <f t="shared" si="18"/>
        <v>244685.53999999998</v>
      </c>
      <c r="CB44" s="176">
        <f t="shared" si="18"/>
        <v>222841.31003266669</v>
      </c>
      <c r="CC44" s="176">
        <f t="shared" si="18"/>
        <v>223918.58000000002</v>
      </c>
      <c r="CD44" s="177">
        <f t="shared" si="19"/>
        <v>-1077.27</v>
      </c>
      <c r="CE44" s="170">
        <v>65133</v>
      </c>
      <c r="CF44" s="168">
        <v>63545.9</v>
      </c>
      <c r="CG44" s="168">
        <v>55386.55</v>
      </c>
      <c r="CH44" s="174">
        <v>42713.56</v>
      </c>
      <c r="CI44" s="168">
        <f t="shared" si="20"/>
        <v>12672.99</v>
      </c>
      <c r="CJ44" s="168"/>
      <c r="CK44" s="168"/>
      <c r="CL44" s="168"/>
      <c r="CM44" s="171"/>
      <c r="CN44" s="168">
        <f t="shared" si="21"/>
        <v>0</v>
      </c>
      <c r="CO44" s="175"/>
      <c r="CP44" s="175"/>
      <c r="CQ44" s="248"/>
      <c r="CR44" s="247"/>
      <c r="CS44" s="175">
        <f t="shared" si="22"/>
        <v>0</v>
      </c>
      <c r="CT44" s="175"/>
      <c r="CU44" s="175"/>
      <c r="CV44" s="248"/>
      <c r="CW44" s="247"/>
      <c r="CX44" s="175">
        <f t="shared" si="23"/>
        <v>0</v>
      </c>
      <c r="CY44" s="176">
        <f t="shared" si="24"/>
        <v>65133</v>
      </c>
      <c r="CZ44" s="176">
        <f t="shared" si="25"/>
        <v>63545.9</v>
      </c>
      <c r="DA44" s="176">
        <f t="shared" si="34"/>
        <v>55386.55</v>
      </c>
      <c r="DB44" s="176">
        <f t="shared" si="27"/>
        <v>42713.56</v>
      </c>
      <c r="DC44" s="177">
        <f t="shared" si="28"/>
        <v>12672.99</v>
      </c>
      <c r="DD44" s="178">
        <f t="shared" si="29"/>
        <v>788856.1</v>
      </c>
      <c r="DE44" s="176">
        <f t="shared" si="30"/>
        <v>789710.89698999992</v>
      </c>
      <c r="DF44" s="176">
        <f t="shared" si="31"/>
        <v>757349.47503387299</v>
      </c>
      <c r="DG44" s="176">
        <f t="shared" si="32"/>
        <v>755291.28</v>
      </c>
      <c r="DH44" s="177">
        <f t="shared" si="33"/>
        <v>2058.1999999999998</v>
      </c>
    </row>
    <row r="45" spans="1:112" x14ac:dyDescent="0.3">
      <c r="A45" s="97" t="s">
        <v>56</v>
      </c>
      <c r="B45" s="115">
        <v>8</v>
      </c>
      <c r="C45" s="166">
        <v>34635.919999999998</v>
      </c>
      <c r="D45" s="167">
        <v>34201.730000000003</v>
      </c>
      <c r="E45" s="168">
        <v>34201.730000000003</v>
      </c>
      <c r="F45" s="168">
        <v>39011.65</v>
      </c>
      <c r="G45" s="169">
        <f t="shared" si="2"/>
        <v>-4809.92</v>
      </c>
      <c r="H45" s="170">
        <v>39534.68</v>
      </c>
      <c r="I45" s="168">
        <v>37482.01</v>
      </c>
      <c r="J45" s="168">
        <v>37482.0054145752</v>
      </c>
      <c r="K45" s="168">
        <v>39919.839999999997</v>
      </c>
      <c r="L45" s="171">
        <f t="shared" si="0"/>
        <v>-2437.83</v>
      </c>
      <c r="M45" s="168">
        <v>39189.85</v>
      </c>
      <c r="N45" s="168">
        <v>39189.85</v>
      </c>
      <c r="O45" s="168">
        <v>39189.85</v>
      </c>
      <c r="P45" s="168">
        <v>40297.11</v>
      </c>
      <c r="Q45" s="171">
        <f t="shared" si="3"/>
        <v>-1107.26</v>
      </c>
      <c r="R45" s="168">
        <v>49071.03</v>
      </c>
      <c r="S45" s="168">
        <v>62881.513800000001</v>
      </c>
      <c r="T45" s="168">
        <v>62881.513800000001</v>
      </c>
      <c r="U45" s="168">
        <v>33488.200000000004</v>
      </c>
      <c r="V45" s="171">
        <f t="shared" si="4"/>
        <v>29393.31</v>
      </c>
      <c r="W45" s="168">
        <v>35792.82</v>
      </c>
      <c r="X45" s="168">
        <v>35112.76</v>
      </c>
      <c r="Y45" s="168">
        <v>35112.76</v>
      </c>
      <c r="Z45" s="168">
        <v>30448.049999999996</v>
      </c>
      <c r="AA45" s="171">
        <f t="shared" si="5"/>
        <v>4664.71</v>
      </c>
      <c r="AB45" s="172">
        <f t="shared" si="6"/>
        <v>163588.38</v>
      </c>
      <c r="AC45" s="172">
        <f t="shared" si="6"/>
        <v>174666.13380000001</v>
      </c>
      <c r="AD45" s="172">
        <f t="shared" si="6"/>
        <v>174666.12921457522</v>
      </c>
      <c r="AE45" s="172">
        <f t="shared" si="6"/>
        <v>144153.19999999998</v>
      </c>
      <c r="AF45" s="173">
        <f t="shared" si="7"/>
        <v>30512.93</v>
      </c>
      <c r="AG45" s="170">
        <v>36323</v>
      </c>
      <c r="AH45" s="168">
        <v>15284.7</v>
      </c>
      <c r="AI45" s="168">
        <v>15284.7</v>
      </c>
      <c r="AJ45" s="168">
        <v>35328.020000000004</v>
      </c>
      <c r="AK45" s="171">
        <f t="shared" si="8"/>
        <v>-20043.32</v>
      </c>
      <c r="AL45" s="168">
        <v>34252</v>
      </c>
      <c r="AM45" s="168">
        <v>27515.96</v>
      </c>
      <c r="AN45" s="168">
        <v>27515.96</v>
      </c>
      <c r="AO45" s="168">
        <v>38440.589999999997</v>
      </c>
      <c r="AP45" s="171">
        <f t="shared" si="9"/>
        <v>-10924.63</v>
      </c>
      <c r="AQ45" s="168">
        <v>34425</v>
      </c>
      <c r="AR45" s="168">
        <v>39689.94</v>
      </c>
      <c r="AS45" s="168">
        <v>39286.907868669005</v>
      </c>
      <c r="AT45" s="168">
        <v>51664.66</v>
      </c>
      <c r="AU45" s="171">
        <f t="shared" si="10"/>
        <v>-12377.75</v>
      </c>
      <c r="AV45" s="168">
        <v>37322</v>
      </c>
      <c r="AW45" s="168">
        <v>37624.839999999997</v>
      </c>
      <c r="AX45" s="168">
        <v>36221.789999999994</v>
      </c>
      <c r="AY45" s="171">
        <v>39714.71</v>
      </c>
      <c r="AZ45" s="171">
        <f t="shared" si="11"/>
        <v>-3492.92</v>
      </c>
      <c r="BA45" s="172">
        <f t="shared" si="12"/>
        <v>142322</v>
      </c>
      <c r="BB45" s="172">
        <f t="shared" si="12"/>
        <v>120115.44</v>
      </c>
      <c r="BC45" s="172">
        <f t="shared" si="12"/>
        <v>118309.357868669</v>
      </c>
      <c r="BD45" s="172">
        <f t="shared" si="12"/>
        <v>165147.98000000001</v>
      </c>
      <c r="BE45" s="173">
        <f t="shared" si="13"/>
        <v>-46838.62</v>
      </c>
      <c r="BF45" s="170">
        <v>38099</v>
      </c>
      <c r="BG45" s="168">
        <v>52352.959999999999</v>
      </c>
      <c r="BH45" s="168">
        <v>48344.016104661088</v>
      </c>
      <c r="BI45" s="174">
        <v>37950.300000000003</v>
      </c>
      <c r="BJ45" s="168">
        <f t="shared" si="14"/>
        <v>10393.719999999999</v>
      </c>
      <c r="BK45" s="168">
        <v>41724</v>
      </c>
      <c r="BL45" s="168">
        <v>38597.22</v>
      </c>
      <c r="BM45" s="168">
        <v>36285.944236640658</v>
      </c>
      <c r="BN45" s="171">
        <v>27045.039999999997</v>
      </c>
      <c r="BO45" s="168">
        <f t="shared" si="15"/>
        <v>9240.9</v>
      </c>
      <c r="BP45" s="175">
        <v>37497</v>
      </c>
      <c r="BQ45" s="175">
        <v>28314.34</v>
      </c>
      <c r="BR45" s="248">
        <v>27352.98</v>
      </c>
      <c r="BS45" s="247">
        <v>36013.839999999997</v>
      </c>
      <c r="BT45" s="175">
        <f t="shared" si="16"/>
        <v>-8660.86</v>
      </c>
      <c r="BU45" s="175">
        <v>36756</v>
      </c>
      <c r="BV45" s="175">
        <v>36918.120000000003</v>
      </c>
      <c r="BW45" s="248">
        <v>31814.61</v>
      </c>
      <c r="BX45" s="247">
        <v>39703.910000000003</v>
      </c>
      <c r="BY45" s="175">
        <f t="shared" si="17"/>
        <v>-7889.3</v>
      </c>
      <c r="BZ45" s="176">
        <f t="shared" si="18"/>
        <v>154076</v>
      </c>
      <c r="CA45" s="176">
        <f t="shared" si="18"/>
        <v>156182.63999999998</v>
      </c>
      <c r="CB45" s="176">
        <f t="shared" si="18"/>
        <v>143797.55034130174</v>
      </c>
      <c r="CC45" s="176">
        <f t="shared" si="18"/>
        <v>140713.09</v>
      </c>
      <c r="CD45" s="177">
        <f t="shared" si="19"/>
        <v>3084.46</v>
      </c>
      <c r="CE45" s="170">
        <v>33968</v>
      </c>
      <c r="CF45" s="168">
        <v>43940.25</v>
      </c>
      <c r="CG45" s="168">
        <v>38298.28</v>
      </c>
      <c r="CH45" s="174">
        <v>49254.490000000005</v>
      </c>
      <c r="CI45" s="168">
        <f t="shared" si="20"/>
        <v>-10956.21</v>
      </c>
      <c r="CJ45" s="168"/>
      <c r="CK45" s="168"/>
      <c r="CL45" s="168"/>
      <c r="CM45" s="171"/>
      <c r="CN45" s="168">
        <f t="shared" si="21"/>
        <v>0</v>
      </c>
      <c r="CO45" s="175"/>
      <c r="CP45" s="175"/>
      <c r="CQ45" s="248"/>
      <c r="CR45" s="247"/>
      <c r="CS45" s="175">
        <f t="shared" si="22"/>
        <v>0</v>
      </c>
      <c r="CT45" s="175"/>
      <c r="CU45" s="175"/>
      <c r="CV45" s="248"/>
      <c r="CW45" s="247"/>
      <c r="CX45" s="175">
        <f t="shared" si="23"/>
        <v>0</v>
      </c>
      <c r="CY45" s="176">
        <f t="shared" si="24"/>
        <v>33968</v>
      </c>
      <c r="CZ45" s="176">
        <f t="shared" si="25"/>
        <v>43940.25</v>
      </c>
      <c r="DA45" s="176">
        <f t="shared" si="34"/>
        <v>38298.28</v>
      </c>
      <c r="DB45" s="176">
        <f t="shared" si="27"/>
        <v>49254.490000000005</v>
      </c>
      <c r="DC45" s="177">
        <f t="shared" si="28"/>
        <v>-10956.21</v>
      </c>
      <c r="DD45" s="178">
        <f t="shared" si="29"/>
        <v>528590.30000000005</v>
      </c>
      <c r="DE45" s="176">
        <f t="shared" si="30"/>
        <v>529106.19380000001</v>
      </c>
      <c r="DF45" s="176">
        <f t="shared" si="31"/>
        <v>509273.04742454598</v>
      </c>
      <c r="DG45" s="176">
        <f t="shared" si="32"/>
        <v>538280.40999999992</v>
      </c>
      <c r="DH45" s="177">
        <f t="shared" si="33"/>
        <v>-29007.360000000001</v>
      </c>
    </row>
    <row r="46" spans="1:112" x14ac:dyDescent="0.3">
      <c r="A46" s="97" t="s">
        <v>109</v>
      </c>
      <c r="B46" s="115">
        <v>6</v>
      </c>
      <c r="C46" s="166">
        <v>281935.83</v>
      </c>
      <c r="D46" s="167">
        <v>278401.53999999998</v>
      </c>
      <c r="E46" s="168">
        <v>278401.53999999998</v>
      </c>
      <c r="F46" s="168">
        <v>249903.12999999998</v>
      </c>
      <c r="G46" s="169">
        <f t="shared" si="2"/>
        <v>28498.41</v>
      </c>
      <c r="H46" s="170">
        <v>282222.3</v>
      </c>
      <c r="I46" s="168">
        <v>267569.08</v>
      </c>
      <c r="J46" s="168">
        <v>267569.07547282201</v>
      </c>
      <c r="K46" s="168">
        <v>234796.06</v>
      </c>
      <c r="L46" s="171">
        <f t="shared" si="0"/>
        <v>32773.019999999997</v>
      </c>
      <c r="M46" s="168">
        <v>282058.27</v>
      </c>
      <c r="N46" s="168">
        <v>253559.86000000002</v>
      </c>
      <c r="O46" s="168">
        <v>253559.86000000002</v>
      </c>
      <c r="P46" s="168">
        <v>250164.32</v>
      </c>
      <c r="Q46" s="171">
        <f t="shared" si="3"/>
        <v>3395.54</v>
      </c>
      <c r="R46" s="168">
        <v>282058.27</v>
      </c>
      <c r="S46" s="168">
        <v>237608.69089999996</v>
      </c>
      <c r="T46" s="168">
        <v>237608.69089999996</v>
      </c>
      <c r="U46" s="168">
        <v>236524.84</v>
      </c>
      <c r="V46" s="171">
        <f t="shared" si="4"/>
        <v>1083.8499999999999</v>
      </c>
      <c r="W46" s="168">
        <v>282058.27</v>
      </c>
      <c r="X46" s="168">
        <v>276699.16000000003</v>
      </c>
      <c r="Y46" s="168">
        <v>276699.16000000003</v>
      </c>
      <c r="Z46" s="168">
        <v>309380.65999999997</v>
      </c>
      <c r="AA46" s="171">
        <f t="shared" si="5"/>
        <v>-32681.5</v>
      </c>
      <c r="AB46" s="172">
        <f t="shared" si="6"/>
        <v>1128397.1100000001</v>
      </c>
      <c r="AC46" s="172">
        <f t="shared" si="6"/>
        <v>1035436.7909</v>
      </c>
      <c r="AD46" s="172">
        <f t="shared" si="6"/>
        <v>1035436.786372822</v>
      </c>
      <c r="AE46" s="172">
        <f t="shared" si="6"/>
        <v>1030865.8799999999</v>
      </c>
      <c r="AF46" s="173">
        <f t="shared" si="7"/>
        <v>4570.91</v>
      </c>
      <c r="AG46" s="170">
        <v>301789</v>
      </c>
      <c r="AH46" s="168">
        <v>236038.18</v>
      </c>
      <c r="AI46" s="168">
        <v>236038.18</v>
      </c>
      <c r="AJ46" s="168">
        <v>251387.38</v>
      </c>
      <c r="AK46" s="171">
        <f t="shared" si="8"/>
        <v>-15349.2</v>
      </c>
      <c r="AL46" s="168">
        <v>302112</v>
      </c>
      <c r="AM46" s="168">
        <v>326612.06</v>
      </c>
      <c r="AN46" s="168">
        <v>326612.06</v>
      </c>
      <c r="AO46" s="168">
        <v>277104.7</v>
      </c>
      <c r="AP46" s="171">
        <f t="shared" si="9"/>
        <v>49507.360000000001</v>
      </c>
      <c r="AQ46" s="168">
        <v>302112</v>
      </c>
      <c r="AR46" s="168">
        <v>234884.52</v>
      </c>
      <c r="AS46" s="168">
        <v>232499.38138018205</v>
      </c>
      <c r="AT46" s="168">
        <v>276063.28000000003</v>
      </c>
      <c r="AU46" s="171">
        <f t="shared" si="10"/>
        <v>-43563.9</v>
      </c>
      <c r="AV46" s="168">
        <v>302112</v>
      </c>
      <c r="AW46" s="168">
        <v>289017.15999999997</v>
      </c>
      <c r="AX46" s="168">
        <v>278239.52999999997</v>
      </c>
      <c r="AY46" s="171">
        <v>260363.22</v>
      </c>
      <c r="AZ46" s="171">
        <f t="shared" si="11"/>
        <v>17876.310000000001</v>
      </c>
      <c r="BA46" s="172">
        <f t="shared" si="12"/>
        <v>1208125</v>
      </c>
      <c r="BB46" s="172">
        <f t="shared" si="12"/>
        <v>1086551.92</v>
      </c>
      <c r="BC46" s="172">
        <f t="shared" si="12"/>
        <v>1073389.151380182</v>
      </c>
      <c r="BD46" s="172">
        <f t="shared" si="12"/>
        <v>1064918.58</v>
      </c>
      <c r="BE46" s="173">
        <f t="shared" si="13"/>
        <v>8470.57</v>
      </c>
      <c r="BF46" s="170">
        <v>298036</v>
      </c>
      <c r="BG46" s="168">
        <v>364119.39</v>
      </c>
      <c r="BH46" s="168">
        <v>336236.83654523781</v>
      </c>
      <c r="BI46" s="174">
        <v>252887.05</v>
      </c>
      <c r="BJ46" s="168">
        <f t="shared" si="14"/>
        <v>83349.789999999994</v>
      </c>
      <c r="BK46" s="168">
        <v>279281</v>
      </c>
      <c r="BL46" s="168">
        <v>204448.85</v>
      </c>
      <c r="BM46" s="168">
        <v>192206.05966816549</v>
      </c>
      <c r="BN46" s="171">
        <v>282151.55</v>
      </c>
      <c r="BO46" s="168">
        <f t="shared" si="15"/>
        <v>-89945.49</v>
      </c>
      <c r="BP46" s="175">
        <v>279541</v>
      </c>
      <c r="BQ46" s="175">
        <v>273520.15000000002</v>
      </c>
      <c r="BR46" s="248">
        <v>264233.32</v>
      </c>
      <c r="BS46" s="247">
        <v>292165.16000000003</v>
      </c>
      <c r="BT46" s="175">
        <f t="shared" si="16"/>
        <v>-27931.84</v>
      </c>
      <c r="BU46" s="175">
        <v>278463</v>
      </c>
      <c r="BV46" s="175">
        <v>280326.49</v>
      </c>
      <c r="BW46" s="266">
        <v>241574.47</v>
      </c>
      <c r="BX46" s="247">
        <v>374457.58</v>
      </c>
      <c r="BY46" s="175">
        <f t="shared" si="17"/>
        <v>-132883.10999999999</v>
      </c>
      <c r="BZ46" s="176">
        <f t="shared" si="18"/>
        <v>1135321</v>
      </c>
      <c r="CA46" s="176">
        <f t="shared" si="18"/>
        <v>1122414.8799999999</v>
      </c>
      <c r="CB46" s="176">
        <f t="shared" si="18"/>
        <v>1034250.6862134032</v>
      </c>
      <c r="CC46" s="176">
        <f t="shared" si="18"/>
        <v>1201661.3400000001</v>
      </c>
      <c r="CD46" s="177">
        <f t="shared" si="19"/>
        <v>-167410.65</v>
      </c>
      <c r="CE46" s="170">
        <v>297818</v>
      </c>
      <c r="CF46" s="168">
        <v>354945.37</v>
      </c>
      <c r="CG46" s="168">
        <v>309370.03999999998</v>
      </c>
      <c r="CH46" s="174">
        <v>333096.74</v>
      </c>
      <c r="CI46" s="168">
        <f t="shared" si="20"/>
        <v>-23726.7</v>
      </c>
      <c r="CJ46" s="168"/>
      <c r="CK46" s="168"/>
      <c r="CL46" s="168"/>
      <c r="CM46" s="171"/>
      <c r="CN46" s="168">
        <f t="shared" si="21"/>
        <v>0</v>
      </c>
      <c r="CO46" s="175"/>
      <c r="CP46" s="175"/>
      <c r="CQ46" s="248"/>
      <c r="CR46" s="247"/>
      <c r="CS46" s="175">
        <f t="shared" si="22"/>
        <v>0</v>
      </c>
      <c r="CT46" s="175"/>
      <c r="CU46" s="175"/>
      <c r="CV46" s="248"/>
      <c r="CW46" s="247"/>
      <c r="CX46" s="175">
        <f t="shared" si="23"/>
        <v>0</v>
      </c>
      <c r="CY46" s="176">
        <f t="shared" si="24"/>
        <v>297818</v>
      </c>
      <c r="CZ46" s="176">
        <f t="shared" si="25"/>
        <v>354945.37</v>
      </c>
      <c r="DA46" s="176">
        <f t="shared" si="34"/>
        <v>309370.03999999998</v>
      </c>
      <c r="DB46" s="176">
        <f t="shared" si="27"/>
        <v>333096.74</v>
      </c>
      <c r="DC46" s="177">
        <f t="shared" si="28"/>
        <v>-23726.7</v>
      </c>
      <c r="DD46" s="178">
        <f t="shared" si="29"/>
        <v>4051596.9400000004</v>
      </c>
      <c r="DE46" s="176">
        <f t="shared" si="30"/>
        <v>3877750.5008999999</v>
      </c>
      <c r="DF46" s="176">
        <f t="shared" si="31"/>
        <v>3730848.2039664071</v>
      </c>
      <c r="DG46" s="176">
        <f t="shared" si="32"/>
        <v>3880445.67</v>
      </c>
      <c r="DH46" s="177">
        <f t="shared" si="33"/>
        <v>-149597.47</v>
      </c>
    </row>
    <row r="47" spans="1:112" x14ac:dyDescent="0.3">
      <c r="A47" s="97" t="s">
        <v>57</v>
      </c>
      <c r="B47" s="115">
        <v>6</v>
      </c>
      <c r="C47" s="166">
        <v>35989.54</v>
      </c>
      <c r="D47" s="167">
        <v>35538.379999999997</v>
      </c>
      <c r="E47" s="168">
        <v>35538.379999999997</v>
      </c>
      <c r="F47" s="168">
        <v>36718.289999999994</v>
      </c>
      <c r="G47" s="169">
        <f t="shared" si="2"/>
        <v>-1179.9100000000001</v>
      </c>
      <c r="H47" s="170">
        <v>38344</v>
      </c>
      <c r="I47" s="168">
        <v>36353.15</v>
      </c>
      <c r="J47" s="168">
        <v>36353.146544160001</v>
      </c>
      <c r="K47" s="168">
        <v>25076.66</v>
      </c>
      <c r="L47" s="171">
        <f t="shared" si="0"/>
        <v>11276.49</v>
      </c>
      <c r="M47" s="168">
        <v>40598</v>
      </c>
      <c r="N47" s="168">
        <v>40598</v>
      </c>
      <c r="O47" s="168">
        <v>40598</v>
      </c>
      <c r="P47" s="168">
        <v>39136.740000000005</v>
      </c>
      <c r="Q47" s="171">
        <f t="shared" si="3"/>
        <v>1461.26</v>
      </c>
      <c r="R47" s="168">
        <v>30296.410000000003</v>
      </c>
      <c r="S47" s="168">
        <v>20481.257010000016</v>
      </c>
      <c r="T47" s="168">
        <v>20481.257010000016</v>
      </c>
      <c r="U47" s="168">
        <v>43585.36</v>
      </c>
      <c r="V47" s="171">
        <f t="shared" si="4"/>
        <v>-23104.1</v>
      </c>
      <c r="W47" s="168">
        <v>34434.04</v>
      </c>
      <c r="X47" s="168">
        <v>33779.79</v>
      </c>
      <c r="Y47" s="168">
        <v>33779.79</v>
      </c>
      <c r="Z47" s="168">
        <v>38551.64</v>
      </c>
      <c r="AA47" s="171">
        <f t="shared" si="5"/>
        <v>-4771.8500000000004</v>
      </c>
      <c r="AB47" s="172">
        <f t="shared" si="6"/>
        <v>143672.45000000001</v>
      </c>
      <c r="AC47" s="172">
        <f t="shared" si="6"/>
        <v>131212.19701</v>
      </c>
      <c r="AD47" s="172">
        <f t="shared" si="6"/>
        <v>131212.19355416001</v>
      </c>
      <c r="AE47" s="172">
        <f t="shared" si="6"/>
        <v>146350.40000000002</v>
      </c>
      <c r="AF47" s="173">
        <f t="shared" si="7"/>
        <v>-15138.21</v>
      </c>
      <c r="AG47" s="170">
        <v>28769</v>
      </c>
      <c r="AH47" s="168">
        <v>40315.26</v>
      </c>
      <c r="AI47" s="168">
        <v>40315.26</v>
      </c>
      <c r="AJ47" s="168">
        <v>35436.479999999996</v>
      </c>
      <c r="AK47" s="171">
        <f t="shared" si="8"/>
        <v>4878.78</v>
      </c>
      <c r="AL47" s="168">
        <v>37162</v>
      </c>
      <c r="AM47" s="168">
        <v>39468.85</v>
      </c>
      <c r="AN47" s="168">
        <v>39468.85</v>
      </c>
      <c r="AO47" s="168">
        <v>52366.83</v>
      </c>
      <c r="AP47" s="171">
        <f t="shared" si="9"/>
        <v>-12897.98</v>
      </c>
      <c r="AQ47" s="168">
        <v>44933</v>
      </c>
      <c r="AR47" s="168">
        <v>69270.31</v>
      </c>
      <c r="AS47" s="168">
        <v>68566.903527799266</v>
      </c>
      <c r="AT47" s="168">
        <v>34533.99</v>
      </c>
      <c r="AU47" s="171">
        <f t="shared" si="10"/>
        <v>34032.910000000003</v>
      </c>
      <c r="AV47" s="168">
        <v>33205</v>
      </c>
      <c r="AW47" s="168">
        <v>765.33000000000175</v>
      </c>
      <c r="AX47" s="168">
        <v>736.79000000000178</v>
      </c>
      <c r="AY47" s="171">
        <v>33309.17</v>
      </c>
      <c r="AZ47" s="171">
        <f t="shared" si="11"/>
        <v>-32572.38</v>
      </c>
      <c r="BA47" s="172">
        <f t="shared" si="12"/>
        <v>144069</v>
      </c>
      <c r="BB47" s="172">
        <f t="shared" si="12"/>
        <v>149819.75</v>
      </c>
      <c r="BC47" s="172">
        <f t="shared" si="12"/>
        <v>149087.80352779929</v>
      </c>
      <c r="BD47" s="172">
        <f t="shared" si="12"/>
        <v>155646.46999999997</v>
      </c>
      <c r="BE47" s="173">
        <f t="shared" si="13"/>
        <v>-6558.67</v>
      </c>
      <c r="BF47" s="170">
        <v>34622</v>
      </c>
      <c r="BG47" s="168">
        <v>33527.300000000003</v>
      </c>
      <c r="BH47" s="168">
        <v>30959.93676662798</v>
      </c>
      <c r="BI47" s="174">
        <v>35313.379999999997</v>
      </c>
      <c r="BJ47" s="168">
        <f t="shared" si="14"/>
        <v>-4353.4399999999996</v>
      </c>
      <c r="BK47" s="168">
        <v>25908</v>
      </c>
      <c r="BL47" s="168">
        <v>71525.95</v>
      </c>
      <c r="BM47" s="168">
        <v>67242.838556060451</v>
      </c>
      <c r="BN47" s="171">
        <v>39745.14</v>
      </c>
      <c r="BO47" s="168">
        <f t="shared" si="15"/>
        <v>27497.7</v>
      </c>
      <c r="BP47" s="175">
        <v>32583</v>
      </c>
      <c r="BQ47" s="175">
        <v>15352.599999999999</v>
      </c>
      <c r="BR47" s="248">
        <v>14831.33</v>
      </c>
      <c r="BS47" s="247">
        <v>34357.509999999995</v>
      </c>
      <c r="BT47" s="175">
        <f t="shared" si="16"/>
        <v>-19526.18</v>
      </c>
      <c r="BU47" s="175">
        <v>12605</v>
      </c>
      <c r="BV47" s="175">
        <v>8926.9699999999993</v>
      </c>
      <c r="BW47" s="248">
        <v>7692.92</v>
      </c>
      <c r="BX47" s="247">
        <v>29626.82</v>
      </c>
      <c r="BY47" s="175">
        <f t="shared" si="17"/>
        <v>-21933.9</v>
      </c>
      <c r="BZ47" s="176">
        <f t="shared" si="18"/>
        <v>105718</v>
      </c>
      <c r="CA47" s="176">
        <f t="shared" si="18"/>
        <v>129332.82</v>
      </c>
      <c r="CB47" s="176">
        <f t="shared" si="18"/>
        <v>120727.02532268842</v>
      </c>
      <c r="CC47" s="176">
        <f t="shared" si="18"/>
        <v>139042.84999999998</v>
      </c>
      <c r="CD47" s="177">
        <f t="shared" si="19"/>
        <v>-18315.82</v>
      </c>
      <c r="CE47" s="170">
        <v>13589</v>
      </c>
      <c r="CF47" s="168">
        <v>45862.55</v>
      </c>
      <c r="CG47" s="168">
        <v>39973.760000000002</v>
      </c>
      <c r="CH47" s="174">
        <v>25936.959999999999</v>
      </c>
      <c r="CI47" s="168">
        <f t="shared" si="20"/>
        <v>14036.8</v>
      </c>
      <c r="CJ47" s="168"/>
      <c r="CK47" s="168"/>
      <c r="CL47" s="168"/>
      <c r="CM47" s="171"/>
      <c r="CN47" s="168">
        <f t="shared" si="21"/>
        <v>0</v>
      </c>
      <c r="CO47" s="175"/>
      <c r="CP47" s="175"/>
      <c r="CQ47" s="248"/>
      <c r="CR47" s="247"/>
      <c r="CS47" s="175">
        <f t="shared" si="22"/>
        <v>0</v>
      </c>
      <c r="CT47" s="175"/>
      <c r="CU47" s="175"/>
      <c r="CV47" s="248"/>
      <c r="CW47" s="247"/>
      <c r="CX47" s="175">
        <f t="shared" si="23"/>
        <v>0</v>
      </c>
      <c r="CY47" s="176">
        <f t="shared" si="24"/>
        <v>13589</v>
      </c>
      <c r="CZ47" s="176">
        <f t="shared" si="25"/>
        <v>45862.55</v>
      </c>
      <c r="DA47" s="176">
        <f t="shared" si="34"/>
        <v>39973.760000000002</v>
      </c>
      <c r="DB47" s="176">
        <f t="shared" si="27"/>
        <v>25936.959999999999</v>
      </c>
      <c r="DC47" s="177">
        <f t="shared" si="28"/>
        <v>14036.8</v>
      </c>
      <c r="DD47" s="178">
        <f t="shared" si="29"/>
        <v>443037.99</v>
      </c>
      <c r="DE47" s="176">
        <f t="shared" si="30"/>
        <v>491765.69701</v>
      </c>
      <c r="DF47" s="176">
        <f t="shared" si="31"/>
        <v>476539.16240464768</v>
      </c>
      <c r="DG47" s="176">
        <f t="shared" si="32"/>
        <v>503694.97</v>
      </c>
      <c r="DH47" s="177">
        <f t="shared" si="33"/>
        <v>-27155.81</v>
      </c>
    </row>
    <row r="48" spans="1:112" x14ac:dyDescent="0.3">
      <c r="A48" s="97" t="s">
        <v>58</v>
      </c>
      <c r="B48" s="115">
        <v>5</v>
      </c>
      <c r="C48" s="166">
        <v>16918</v>
      </c>
      <c r="D48" s="167">
        <v>16705.919999999998</v>
      </c>
      <c r="E48" s="168">
        <v>16705.919999999998</v>
      </c>
      <c r="F48" s="168">
        <v>16705.919999999998</v>
      </c>
      <c r="G48" s="169">
        <f t="shared" si="2"/>
        <v>0</v>
      </c>
      <c r="H48" s="170">
        <v>15814</v>
      </c>
      <c r="I48" s="168">
        <v>14992.92</v>
      </c>
      <c r="J48" s="168">
        <v>14992.923519960001</v>
      </c>
      <c r="K48" s="168">
        <v>13724.029999999999</v>
      </c>
      <c r="L48" s="171">
        <f t="shared" si="0"/>
        <v>1268.8900000000001</v>
      </c>
      <c r="M48" s="168">
        <v>17405</v>
      </c>
      <c r="N48" s="168">
        <v>17405</v>
      </c>
      <c r="O48" s="168">
        <v>17405</v>
      </c>
      <c r="P48" s="168">
        <v>17628.79</v>
      </c>
      <c r="Q48" s="171">
        <f t="shared" si="3"/>
        <v>-223.79</v>
      </c>
      <c r="R48" s="168">
        <v>15308</v>
      </c>
      <c r="S48" s="168">
        <v>15589.349700000002</v>
      </c>
      <c r="T48" s="168">
        <v>15589.349700000002</v>
      </c>
      <c r="U48" s="168">
        <v>15325.75</v>
      </c>
      <c r="V48" s="171">
        <f t="shared" si="4"/>
        <v>263.60000000000002</v>
      </c>
      <c r="W48" s="168">
        <v>15340.73</v>
      </c>
      <c r="X48" s="168">
        <v>15049.26</v>
      </c>
      <c r="Y48" s="168">
        <v>15049.26</v>
      </c>
      <c r="Z48" s="168">
        <v>15049.26</v>
      </c>
      <c r="AA48" s="171">
        <f t="shared" si="5"/>
        <v>0</v>
      </c>
      <c r="AB48" s="172">
        <f t="shared" si="6"/>
        <v>63867.729999999996</v>
      </c>
      <c r="AC48" s="172">
        <f t="shared" si="6"/>
        <v>63036.529700000006</v>
      </c>
      <c r="AD48" s="172">
        <f t="shared" si="6"/>
        <v>63036.533219960002</v>
      </c>
      <c r="AE48" s="172">
        <f t="shared" si="6"/>
        <v>61727.83</v>
      </c>
      <c r="AF48" s="173">
        <f t="shared" si="7"/>
        <v>1308.7</v>
      </c>
      <c r="AG48" s="170">
        <v>17678</v>
      </c>
      <c r="AH48" s="168">
        <v>16369.3</v>
      </c>
      <c r="AI48" s="168">
        <v>16369.3</v>
      </c>
      <c r="AJ48" s="168">
        <v>15563.82</v>
      </c>
      <c r="AK48" s="171">
        <f t="shared" si="8"/>
        <v>805.48</v>
      </c>
      <c r="AL48" s="168">
        <v>16609</v>
      </c>
      <c r="AM48" s="168">
        <v>14601.62</v>
      </c>
      <c r="AN48" s="168">
        <v>14601.619999999999</v>
      </c>
      <c r="AO48" s="168">
        <v>17958.87</v>
      </c>
      <c r="AP48" s="171">
        <f t="shared" si="9"/>
        <v>-3357.25</v>
      </c>
      <c r="AQ48" s="168">
        <v>15374</v>
      </c>
      <c r="AR48" s="168">
        <v>16617.07</v>
      </c>
      <c r="AS48" s="168">
        <v>16448.331696576606</v>
      </c>
      <c r="AT48" s="168">
        <v>16848.080000000002</v>
      </c>
      <c r="AU48" s="171">
        <f t="shared" si="10"/>
        <v>-399.75</v>
      </c>
      <c r="AV48" s="168">
        <v>13719</v>
      </c>
      <c r="AW48" s="168">
        <v>14600.05</v>
      </c>
      <c r="AX48" s="168">
        <v>14055.609999999999</v>
      </c>
      <c r="AY48" s="171">
        <v>23509.599999999999</v>
      </c>
      <c r="AZ48" s="171">
        <f t="shared" si="11"/>
        <v>-9453.99</v>
      </c>
      <c r="BA48" s="172">
        <f t="shared" si="12"/>
        <v>63380</v>
      </c>
      <c r="BB48" s="172">
        <f t="shared" si="12"/>
        <v>62188.039999999994</v>
      </c>
      <c r="BC48" s="172">
        <f t="shared" si="12"/>
        <v>61474.861696576605</v>
      </c>
      <c r="BD48" s="172">
        <f t="shared" si="12"/>
        <v>73880.37</v>
      </c>
      <c r="BE48" s="173">
        <f t="shared" si="13"/>
        <v>-12405.51</v>
      </c>
      <c r="BF48" s="170">
        <v>18750</v>
      </c>
      <c r="BG48" s="168">
        <v>25989.03</v>
      </c>
      <c r="BH48" s="168">
        <v>23998.912093308958</v>
      </c>
      <c r="BI48" s="174">
        <v>15052.18</v>
      </c>
      <c r="BJ48" s="168">
        <f t="shared" si="14"/>
        <v>8946.73</v>
      </c>
      <c r="BK48" s="168">
        <v>18474</v>
      </c>
      <c r="BL48" s="168">
        <v>18179.8</v>
      </c>
      <c r="BM48" s="168">
        <v>17091.158612803716</v>
      </c>
      <c r="BN48" s="171">
        <v>18804.52</v>
      </c>
      <c r="BO48" s="168">
        <f t="shared" si="15"/>
        <v>-1713.36</v>
      </c>
      <c r="BP48" s="175">
        <v>18912</v>
      </c>
      <c r="BQ48" s="175">
        <v>12689.11</v>
      </c>
      <c r="BR48" s="248">
        <v>12258.28</v>
      </c>
      <c r="BS48" s="247">
        <v>17180.080000000002</v>
      </c>
      <c r="BT48" s="175">
        <f t="shared" si="16"/>
        <v>-4921.8</v>
      </c>
      <c r="BU48" s="175">
        <v>21773</v>
      </c>
      <c r="BV48" s="175">
        <v>32299.83</v>
      </c>
      <c r="BW48" s="248">
        <v>27834.74</v>
      </c>
      <c r="BX48" s="247">
        <v>21227.78</v>
      </c>
      <c r="BY48" s="175">
        <f t="shared" si="17"/>
        <v>6606.96</v>
      </c>
      <c r="BZ48" s="176">
        <f t="shared" si="18"/>
        <v>77909</v>
      </c>
      <c r="CA48" s="176">
        <f t="shared" si="18"/>
        <v>89157.77</v>
      </c>
      <c r="CB48" s="176">
        <f t="shared" si="18"/>
        <v>81183.090706112678</v>
      </c>
      <c r="CC48" s="176">
        <f t="shared" si="18"/>
        <v>72264.56</v>
      </c>
      <c r="CD48" s="177">
        <f t="shared" si="19"/>
        <v>8918.5300000000007</v>
      </c>
      <c r="CE48" s="170">
        <v>19044</v>
      </c>
      <c r="CF48" s="168">
        <v>17842.27</v>
      </c>
      <c r="CG48" s="168">
        <v>15551.31</v>
      </c>
      <c r="CH48" s="174">
        <v>15915.26</v>
      </c>
      <c r="CI48" s="168">
        <f t="shared" si="20"/>
        <v>-363.95</v>
      </c>
      <c r="CJ48" s="168"/>
      <c r="CK48" s="168"/>
      <c r="CL48" s="168"/>
      <c r="CM48" s="171"/>
      <c r="CN48" s="168">
        <f t="shared" si="21"/>
        <v>0</v>
      </c>
      <c r="CO48" s="175"/>
      <c r="CP48" s="175"/>
      <c r="CQ48" s="248"/>
      <c r="CR48" s="247"/>
      <c r="CS48" s="175">
        <f t="shared" si="22"/>
        <v>0</v>
      </c>
      <c r="CT48" s="175"/>
      <c r="CU48" s="175"/>
      <c r="CV48" s="248"/>
      <c r="CW48" s="247"/>
      <c r="CX48" s="175">
        <f t="shared" si="23"/>
        <v>0</v>
      </c>
      <c r="CY48" s="176">
        <f t="shared" si="24"/>
        <v>19044</v>
      </c>
      <c r="CZ48" s="176">
        <f t="shared" si="25"/>
        <v>17842.27</v>
      </c>
      <c r="DA48" s="176">
        <f t="shared" si="34"/>
        <v>15551.31</v>
      </c>
      <c r="DB48" s="176">
        <f t="shared" si="27"/>
        <v>15915.26</v>
      </c>
      <c r="DC48" s="177">
        <f t="shared" si="28"/>
        <v>-363.95</v>
      </c>
      <c r="DD48" s="178">
        <f t="shared" si="29"/>
        <v>241118.72999999998</v>
      </c>
      <c r="DE48" s="176">
        <f t="shared" si="30"/>
        <v>248930.52969999998</v>
      </c>
      <c r="DF48" s="176">
        <f t="shared" si="31"/>
        <v>237951.7156226493</v>
      </c>
      <c r="DG48" s="176">
        <f t="shared" si="32"/>
        <v>240493.94</v>
      </c>
      <c r="DH48" s="177">
        <f t="shared" si="33"/>
        <v>-2542.2199999999998</v>
      </c>
    </row>
    <row r="49" spans="1:112" x14ac:dyDescent="0.3">
      <c r="A49" s="97" t="s">
        <v>59</v>
      </c>
      <c r="B49" s="115">
        <v>7</v>
      </c>
      <c r="C49" s="166">
        <v>22185.39</v>
      </c>
      <c r="D49" s="167">
        <v>21907.279999999999</v>
      </c>
      <c r="E49" s="168">
        <v>21907.279999999999</v>
      </c>
      <c r="F49" s="168">
        <v>23384.14</v>
      </c>
      <c r="G49" s="169">
        <f t="shared" si="2"/>
        <v>-1476.86</v>
      </c>
      <c r="H49" s="170">
        <v>29810</v>
      </c>
      <c r="I49" s="168">
        <v>28262.240000000002</v>
      </c>
      <c r="J49" s="168">
        <v>28262.239163400001</v>
      </c>
      <c r="K49" s="168">
        <v>27761.579999999998</v>
      </c>
      <c r="L49" s="171">
        <f t="shared" si="0"/>
        <v>500.66</v>
      </c>
      <c r="M49" s="168">
        <v>25140</v>
      </c>
      <c r="N49" s="168">
        <v>25140</v>
      </c>
      <c r="O49" s="168">
        <v>25140</v>
      </c>
      <c r="P49" s="168">
        <v>24845.17</v>
      </c>
      <c r="Q49" s="171">
        <f t="shared" si="3"/>
        <v>294.83</v>
      </c>
      <c r="R49" s="168">
        <v>23485</v>
      </c>
      <c r="S49" s="168">
        <v>24799.634429999995</v>
      </c>
      <c r="T49" s="168">
        <v>24799.634429999995</v>
      </c>
      <c r="U49" s="168">
        <v>32526.87</v>
      </c>
      <c r="V49" s="171">
        <f t="shared" si="4"/>
        <v>-7727.24</v>
      </c>
      <c r="W49" s="168">
        <v>27680</v>
      </c>
      <c r="X49" s="168">
        <v>27154.080000000002</v>
      </c>
      <c r="Y49" s="168">
        <v>27154.080000000002</v>
      </c>
      <c r="Z49" s="168">
        <v>24270.12</v>
      </c>
      <c r="AA49" s="171">
        <f t="shared" si="5"/>
        <v>2883.96</v>
      </c>
      <c r="AB49" s="172">
        <f t="shared" si="6"/>
        <v>106115</v>
      </c>
      <c r="AC49" s="172">
        <f t="shared" si="6"/>
        <v>105355.95443</v>
      </c>
      <c r="AD49" s="172">
        <f t="shared" si="6"/>
        <v>105355.9535934</v>
      </c>
      <c r="AE49" s="172">
        <f t="shared" si="6"/>
        <v>109403.73999999999</v>
      </c>
      <c r="AF49" s="173">
        <f t="shared" si="7"/>
        <v>-4047.79</v>
      </c>
      <c r="AG49" s="170">
        <v>27140</v>
      </c>
      <c r="AH49" s="168">
        <v>35548.61</v>
      </c>
      <c r="AI49" s="168">
        <v>35548.61</v>
      </c>
      <c r="AJ49" s="168">
        <v>18202.61</v>
      </c>
      <c r="AK49" s="171">
        <f t="shared" si="8"/>
        <v>17346</v>
      </c>
      <c r="AL49" s="168">
        <v>20815</v>
      </c>
      <c r="AM49" s="168">
        <v>11726.31</v>
      </c>
      <c r="AN49" s="168">
        <v>11726.31</v>
      </c>
      <c r="AO49" s="168">
        <v>25219.989999999998</v>
      </c>
      <c r="AP49" s="171">
        <f t="shared" si="9"/>
        <v>-13493.68</v>
      </c>
      <c r="AQ49" s="168">
        <v>23163</v>
      </c>
      <c r="AR49" s="168">
        <v>24835.33</v>
      </c>
      <c r="AS49" s="168">
        <v>24583.139243798087</v>
      </c>
      <c r="AT49" s="168">
        <v>19726.21</v>
      </c>
      <c r="AU49" s="171">
        <f t="shared" si="10"/>
        <v>4856.93</v>
      </c>
      <c r="AV49" s="168">
        <v>24705</v>
      </c>
      <c r="AW49" s="168">
        <v>20294.189999999999</v>
      </c>
      <c r="AX49" s="168">
        <v>19537.41</v>
      </c>
      <c r="AY49" s="171">
        <v>25958.68</v>
      </c>
      <c r="AZ49" s="171">
        <f t="shared" si="11"/>
        <v>-6421.27</v>
      </c>
      <c r="BA49" s="172">
        <f t="shared" si="12"/>
        <v>95823</v>
      </c>
      <c r="BB49" s="172">
        <f t="shared" si="12"/>
        <v>92404.44</v>
      </c>
      <c r="BC49" s="172">
        <f t="shared" si="12"/>
        <v>91395.469243798085</v>
      </c>
      <c r="BD49" s="172">
        <f t="shared" si="12"/>
        <v>89107.489999999991</v>
      </c>
      <c r="BE49" s="173">
        <f t="shared" si="13"/>
        <v>2287.98</v>
      </c>
      <c r="BF49" s="170">
        <v>22300</v>
      </c>
      <c r="BG49" s="168">
        <v>18113.849999999999</v>
      </c>
      <c r="BH49" s="168">
        <v>16726.776406098437</v>
      </c>
      <c r="BI49" s="174">
        <v>22849.35</v>
      </c>
      <c r="BJ49" s="168">
        <f t="shared" si="14"/>
        <v>-6122.57</v>
      </c>
      <c r="BK49" s="168">
        <v>21448</v>
      </c>
      <c r="BL49" s="168">
        <v>21605.53</v>
      </c>
      <c r="BM49" s="168">
        <v>20311.749312076536</v>
      </c>
      <c r="BN49" s="171">
        <v>22164.019999999997</v>
      </c>
      <c r="BO49" s="168">
        <f t="shared" si="15"/>
        <v>-1852.27</v>
      </c>
      <c r="BP49" s="175">
        <v>22357</v>
      </c>
      <c r="BQ49" s="175">
        <v>27947.82</v>
      </c>
      <c r="BR49" s="248">
        <v>26998.91</v>
      </c>
      <c r="BS49" s="247">
        <v>29007.119999999999</v>
      </c>
      <c r="BT49" s="175">
        <f t="shared" si="16"/>
        <v>-2008.21</v>
      </c>
      <c r="BU49" s="175">
        <v>27707</v>
      </c>
      <c r="BV49" s="175">
        <v>31110.33</v>
      </c>
      <c r="BW49" s="248">
        <v>26809.68</v>
      </c>
      <c r="BX49" s="247">
        <v>43288.17</v>
      </c>
      <c r="BY49" s="175">
        <f t="shared" si="17"/>
        <v>-16478.490000000002</v>
      </c>
      <c r="BZ49" s="176">
        <f t="shared" si="18"/>
        <v>93812</v>
      </c>
      <c r="CA49" s="176">
        <f t="shared" si="18"/>
        <v>98777.53</v>
      </c>
      <c r="CB49" s="176">
        <f t="shared" si="18"/>
        <v>90847.115718174988</v>
      </c>
      <c r="CC49" s="176">
        <f t="shared" si="18"/>
        <v>117308.65999999999</v>
      </c>
      <c r="CD49" s="177">
        <f t="shared" si="19"/>
        <v>-26461.54</v>
      </c>
      <c r="CE49" s="170">
        <v>26386</v>
      </c>
      <c r="CF49" s="168">
        <v>28276.92</v>
      </c>
      <c r="CG49" s="168">
        <v>24646.14</v>
      </c>
      <c r="CH49" s="174">
        <v>36770.620000000003</v>
      </c>
      <c r="CI49" s="168">
        <f t="shared" si="20"/>
        <v>-12124.48</v>
      </c>
      <c r="CJ49" s="168"/>
      <c r="CK49" s="168"/>
      <c r="CL49" s="168"/>
      <c r="CM49" s="171"/>
      <c r="CN49" s="168">
        <f t="shared" si="21"/>
        <v>0</v>
      </c>
      <c r="CO49" s="175"/>
      <c r="CP49" s="175"/>
      <c r="CQ49" s="248"/>
      <c r="CR49" s="247"/>
      <c r="CS49" s="175">
        <f t="shared" si="22"/>
        <v>0</v>
      </c>
      <c r="CT49" s="175"/>
      <c r="CU49" s="175"/>
      <c r="CV49" s="248"/>
      <c r="CW49" s="247"/>
      <c r="CX49" s="175">
        <f t="shared" si="23"/>
        <v>0</v>
      </c>
      <c r="CY49" s="176">
        <f t="shared" si="24"/>
        <v>26386</v>
      </c>
      <c r="CZ49" s="176">
        <f t="shared" si="25"/>
        <v>28276.92</v>
      </c>
      <c r="DA49" s="176">
        <f t="shared" si="34"/>
        <v>24646.14</v>
      </c>
      <c r="DB49" s="176">
        <f t="shared" si="27"/>
        <v>36770.620000000003</v>
      </c>
      <c r="DC49" s="177">
        <f t="shared" si="28"/>
        <v>-12124.48</v>
      </c>
      <c r="DD49" s="178">
        <f t="shared" si="29"/>
        <v>344321.39</v>
      </c>
      <c r="DE49" s="176">
        <f t="shared" si="30"/>
        <v>346722.12443000003</v>
      </c>
      <c r="DF49" s="176">
        <f t="shared" si="31"/>
        <v>334151.95855537313</v>
      </c>
      <c r="DG49" s="176">
        <f t="shared" si="32"/>
        <v>375974.64999999997</v>
      </c>
      <c r="DH49" s="177">
        <f t="shared" si="33"/>
        <v>-41822.69</v>
      </c>
    </row>
    <row r="50" spans="1:112" x14ac:dyDescent="0.3">
      <c r="A50" s="97" t="s">
        <v>60</v>
      </c>
      <c r="B50" s="115">
        <v>4</v>
      </c>
      <c r="C50" s="166">
        <v>17614.13</v>
      </c>
      <c r="D50" s="167">
        <v>17393.32</v>
      </c>
      <c r="E50" s="168">
        <v>17393.32</v>
      </c>
      <c r="F50" s="168">
        <v>16073.359999999999</v>
      </c>
      <c r="G50" s="169">
        <f t="shared" si="2"/>
        <v>1319.96</v>
      </c>
      <c r="H50" s="170">
        <v>16092.9</v>
      </c>
      <c r="I50" s="168">
        <v>15257.34</v>
      </c>
      <c r="J50" s="168">
        <v>15257.342792105999</v>
      </c>
      <c r="K50" s="168">
        <v>11885.03</v>
      </c>
      <c r="L50" s="171">
        <f t="shared" si="0"/>
        <v>3372.31</v>
      </c>
      <c r="M50" s="168">
        <v>18520.59</v>
      </c>
      <c r="N50" s="168">
        <v>17200.629999999997</v>
      </c>
      <c r="O50" s="168">
        <v>17200.629999999997</v>
      </c>
      <c r="P50" s="168">
        <v>14647.169999999998</v>
      </c>
      <c r="Q50" s="171">
        <f t="shared" si="3"/>
        <v>2553.46</v>
      </c>
      <c r="R50" s="168">
        <v>13910.419999999998</v>
      </c>
      <c r="S50" s="168">
        <v>7284.5061699999987</v>
      </c>
      <c r="T50" s="168">
        <v>7284.5061699999987</v>
      </c>
      <c r="U50" s="168">
        <v>18774.04</v>
      </c>
      <c r="V50" s="171">
        <f t="shared" si="4"/>
        <v>-11489.53</v>
      </c>
      <c r="W50" s="168">
        <v>14371</v>
      </c>
      <c r="X50" s="168">
        <v>14097.95</v>
      </c>
      <c r="Y50" s="168">
        <v>14097.95</v>
      </c>
      <c r="Z50" s="168">
        <v>21908.39</v>
      </c>
      <c r="AA50" s="171">
        <f t="shared" si="5"/>
        <v>-7810.44</v>
      </c>
      <c r="AB50" s="172">
        <f t="shared" si="6"/>
        <v>62894.909999999996</v>
      </c>
      <c r="AC50" s="172">
        <f t="shared" si="6"/>
        <v>53840.426169999992</v>
      </c>
      <c r="AD50" s="172">
        <f t="shared" si="6"/>
        <v>53840.428962106002</v>
      </c>
      <c r="AE50" s="172">
        <f t="shared" si="6"/>
        <v>67214.63</v>
      </c>
      <c r="AF50" s="173">
        <f t="shared" si="7"/>
        <v>-13374.2</v>
      </c>
      <c r="AG50" s="170">
        <v>16100</v>
      </c>
      <c r="AH50" s="168">
        <v>20343.8</v>
      </c>
      <c r="AI50" s="168">
        <v>20343.8</v>
      </c>
      <c r="AJ50" s="168">
        <v>17577.77</v>
      </c>
      <c r="AK50" s="171">
        <f t="shared" si="8"/>
        <v>2766.03</v>
      </c>
      <c r="AL50" s="168">
        <v>13699</v>
      </c>
      <c r="AM50" s="168">
        <v>20989.93</v>
      </c>
      <c r="AN50" s="168">
        <v>20989.93</v>
      </c>
      <c r="AO50" s="168">
        <v>17141.09</v>
      </c>
      <c r="AP50" s="171">
        <f t="shared" si="9"/>
        <v>3848.84</v>
      </c>
      <c r="AQ50" s="168">
        <v>15680</v>
      </c>
      <c r="AR50" s="168">
        <v>21119.37</v>
      </c>
      <c r="AS50" s="168">
        <v>20904.913019126056</v>
      </c>
      <c r="AT50" s="168">
        <v>29010.69</v>
      </c>
      <c r="AU50" s="171">
        <f t="shared" si="10"/>
        <v>-8105.78</v>
      </c>
      <c r="AV50" s="168">
        <v>21017</v>
      </c>
      <c r="AW50" s="168">
        <v>27697.46</v>
      </c>
      <c r="AX50" s="168">
        <v>26664.6</v>
      </c>
      <c r="AY50" s="171">
        <v>30216.76</v>
      </c>
      <c r="AZ50" s="171">
        <f t="shared" si="11"/>
        <v>-3552.16</v>
      </c>
      <c r="BA50" s="172">
        <f t="shared" si="12"/>
        <v>66496</v>
      </c>
      <c r="BB50" s="172">
        <f t="shared" si="12"/>
        <v>90150.56</v>
      </c>
      <c r="BC50" s="172">
        <f t="shared" si="12"/>
        <v>88903.24301912605</v>
      </c>
      <c r="BD50" s="172">
        <f t="shared" si="12"/>
        <v>93946.31</v>
      </c>
      <c r="BE50" s="173">
        <f t="shared" si="13"/>
        <v>-5043.07</v>
      </c>
      <c r="BF50" s="170">
        <v>21989</v>
      </c>
      <c r="BG50" s="168">
        <v>25442.18</v>
      </c>
      <c r="BH50" s="168">
        <v>23493.937299012057</v>
      </c>
      <c r="BI50" s="174">
        <v>19648.900000000001</v>
      </c>
      <c r="BJ50" s="168">
        <f t="shared" si="14"/>
        <v>3845.04</v>
      </c>
      <c r="BK50" s="168">
        <v>16217</v>
      </c>
      <c r="BL50" s="168">
        <v>13907.71</v>
      </c>
      <c r="BM50" s="168">
        <v>13074.889578041362</v>
      </c>
      <c r="BN50" s="171">
        <v>24082.080000000002</v>
      </c>
      <c r="BO50" s="168">
        <f t="shared" si="15"/>
        <v>-11007.19</v>
      </c>
      <c r="BP50" s="175">
        <v>18292</v>
      </c>
      <c r="BQ50" s="175">
        <v>19984.37</v>
      </c>
      <c r="BR50" s="248">
        <v>19305.84</v>
      </c>
      <c r="BS50" s="247">
        <v>23696.35</v>
      </c>
      <c r="BT50" s="175">
        <f t="shared" si="16"/>
        <v>-4390.51</v>
      </c>
      <c r="BU50" s="175">
        <v>21274</v>
      </c>
      <c r="BV50" s="175">
        <v>33664.54</v>
      </c>
      <c r="BW50" s="248">
        <v>29010.799999999999</v>
      </c>
      <c r="BX50" s="247">
        <v>25768.11</v>
      </c>
      <c r="BY50" s="175">
        <f t="shared" si="17"/>
        <v>3242.69</v>
      </c>
      <c r="BZ50" s="176">
        <f t="shared" si="18"/>
        <v>77772</v>
      </c>
      <c r="CA50" s="176">
        <f t="shared" si="18"/>
        <v>92998.799999999988</v>
      </c>
      <c r="CB50" s="176">
        <f t="shared" si="18"/>
        <v>84885.466877053419</v>
      </c>
      <c r="CC50" s="176">
        <f t="shared" si="18"/>
        <v>93195.44</v>
      </c>
      <c r="CD50" s="177">
        <f t="shared" si="19"/>
        <v>-8309.9699999999993</v>
      </c>
      <c r="CE50" s="170">
        <v>21415</v>
      </c>
      <c r="CF50" s="168">
        <v>16819.84</v>
      </c>
      <c r="CG50" s="168">
        <v>14660.16</v>
      </c>
      <c r="CH50" s="174">
        <v>20439.04</v>
      </c>
      <c r="CI50" s="168">
        <f t="shared" si="20"/>
        <v>-5778.88</v>
      </c>
      <c r="CJ50" s="168"/>
      <c r="CK50" s="168"/>
      <c r="CL50" s="168"/>
      <c r="CM50" s="171"/>
      <c r="CN50" s="168">
        <f t="shared" si="21"/>
        <v>0</v>
      </c>
      <c r="CO50" s="175"/>
      <c r="CP50" s="175"/>
      <c r="CQ50" s="248"/>
      <c r="CR50" s="247"/>
      <c r="CS50" s="175">
        <f t="shared" si="22"/>
        <v>0</v>
      </c>
      <c r="CT50" s="175"/>
      <c r="CU50" s="175"/>
      <c r="CV50" s="248"/>
      <c r="CW50" s="247"/>
      <c r="CX50" s="175">
        <f t="shared" si="23"/>
        <v>0</v>
      </c>
      <c r="CY50" s="176">
        <f t="shared" si="24"/>
        <v>21415</v>
      </c>
      <c r="CZ50" s="176">
        <f t="shared" si="25"/>
        <v>16819.84</v>
      </c>
      <c r="DA50" s="176">
        <f t="shared" si="34"/>
        <v>14660.16</v>
      </c>
      <c r="DB50" s="176">
        <f t="shared" si="27"/>
        <v>20439.04</v>
      </c>
      <c r="DC50" s="177">
        <f t="shared" si="28"/>
        <v>-5778.88</v>
      </c>
      <c r="DD50" s="178">
        <f t="shared" si="29"/>
        <v>246192.03999999998</v>
      </c>
      <c r="DE50" s="176">
        <f t="shared" si="30"/>
        <v>271202.94617000001</v>
      </c>
      <c r="DF50" s="176">
        <f t="shared" si="31"/>
        <v>259682.61885828551</v>
      </c>
      <c r="DG50" s="176">
        <f t="shared" si="32"/>
        <v>290868.77999999997</v>
      </c>
      <c r="DH50" s="177">
        <f t="shared" si="33"/>
        <v>-31186.16</v>
      </c>
    </row>
    <row r="51" spans="1:112" x14ac:dyDescent="0.3">
      <c r="A51" s="97" t="s">
        <v>61</v>
      </c>
      <c r="B51" s="115">
        <v>11</v>
      </c>
      <c r="C51" s="166">
        <v>177805</v>
      </c>
      <c r="D51" s="167">
        <v>175576.07</v>
      </c>
      <c r="E51" s="168">
        <v>175576.07</v>
      </c>
      <c r="F51" s="168">
        <v>207487.07</v>
      </c>
      <c r="G51" s="169">
        <f t="shared" si="2"/>
        <v>-31911</v>
      </c>
      <c r="H51" s="170">
        <v>181555</v>
      </c>
      <c r="I51" s="168">
        <v>172128.51</v>
      </c>
      <c r="J51" s="168">
        <v>172128.50826269999</v>
      </c>
      <c r="K51" s="168">
        <v>169139.99</v>
      </c>
      <c r="L51" s="171">
        <f t="shared" si="0"/>
        <v>2988.52</v>
      </c>
      <c r="M51" s="168">
        <v>181555</v>
      </c>
      <c r="N51" s="168">
        <v>181555</v>
      </c>
      <c r="O51" s="168">
        <v>181555</v>
      </c>
      <c r="P51" s="168">
        <v>180394.31</v>
      </c>
      <c r="Q51" s="171">
        <f t="shared" si="3"/>
        <v>1160.69</v>
      </c>
      <c r="R51" s="168">
        <v>181555</v>
      </c>
      <c r="S51" s="168">
        <v>229201.91789999994</v>
      </c>
      <c r="T51" s="168">
        <v>229201.91789999994</v>
      </c>
      <c r="U51" s="168">
        <v>191601.38</v>
      </c>
      <c r="V51" s="171">
        <f t="shared" si="4"/>
        <v>37600.54</v>
      </c>
      <c r="W51" s="168">
        <v>196555</v>
      </c>
      <c r="X51" s="168">
        <v>192820.45</v>
      </c>
      <c r="Y51" s="168">
        <v>192820.45</v>
      </c>
      <c r="Z51" s="168">
        <v>172462.96000000002</v>
      </c>
      <c r="AA51" s="171">
        <f t="shared" si="5"/>
        <v>20357.490000000002</v>
      </c>
      <c r="AB51" s="172">
        <f t="shared" si="6"/>
        <v>741220</v>
      </c>
      <c r="AC51" s="172">
        <f t="shared" si="6"/>
        <v>775705.87789999996</v>
      </c>
      <c r="AD51" s="172">
        <f t="shared" si="6"/>
        <v>775705.87616269989</v>
      </c>
      <c r="AE51" s="172">
        <f t="shared" si="6"/>
        <v>713598.6399999999</v>
      </c>
      <c r="AF51" s="173">
        <f t="shared" si="7"/>
        <v>62107.24</v>
      </c>
      <c r="AG51" s="170">
        <v>176555</v>
      </c>
      <c r="AH51" s="168">
        <v>166716.29</v>
      </c>
      <c r="AI51" s="168">
        <v>166716.29</v>
      </c>
      <c r="AJ51" s="168">
        <v>173880</v>
      </c>
      <c r="AK51" s="171">
        <f t="shared" si="8"/>
        <v>-7163.71</v>
      </c>
      <c r="AL51" s="168">
        <v>176555</v>
      </c>
      <c r="AM51" s="168">
        <v>156197.51</v>
      </c>
      <c r="AN51" s="168">
        <v>156197.51</v>
      </c>
      <c r="AO51" s="168">
        <v>196080.16</v>
      </c>
      <c r="AP51" s="171">
        <f t="shared" si="9"/>
        <v>-39882.65</v>
      </c>
      <c r="AQ51" s="168">
        <v>189055</v>
      </c>
      <c r="AR51" s="168">
        <v>205905.16</v>
      </c>
      <c r="AS51" s="168">
        <v>203814.29275538211</v>
      </c>
      <c r="AT51" s="168">
        <v>188859.14</v>
      </c>
      <c r="AU51" s="171">
        <f t="shared" si="10"/>
        <v>14955.15</v>
      </c>
      <c r="AV51" s="168">
        <v>187745</v>
      </c>
      <c r="AW51" s="168">
        <v>182743.93</v>
      </c>
      <c r="AX51" s="168">
        <v>175929.28999999998</v>
      </c>
      <c r="AY51" s="171">
        <v>163477.28999999998</v>
      </c>
      <c r="AZ51" s="171">
        <f t="shared" si="11"/>
        <v>12452</v>
      </c>
      <c r="BA51" s="172">
        <f t="shared" si="12"/>
        <v>729910</v>
      </c>
      <c r="BB51" s="172">
        <f t="shared" si="12"/>
        <v>711562.89000000013</v>
      </c>
      <c r="BC51" s="172">
        <f t="shared" si="12"/>
        <v>702657.38275538222</v>
      </c>
      <c r="BD51" s="172">
        <f t="shared" si="12"/>
        <v>722296.59000000008</v>
      </c>
      <c r="BE51" s="173">
        <f t="shared" si="13"/>
        <v>-19639.21</v>
      </c>
      <c r="BF51" s="170">
        <v>184130</v>
      </c>
      <c r="BG51" s="168">
        <v>169033.43</v>
      </c>
      <c r="BH51" s="168">
        <v>156089.64349190769</v>
      </c>
      <c r="BI51" s="174">
        <v>167045.52000000002</v>
      </c>
      <c r="BJ51" s="168">
        <f t="shared" si="14"/>
        <v>-10955.88</v>
      </c>
      <c r="BK51" s="168">
        <v>177880</v>
      </c>
      <c r="BL51" s="168">
        <v>182627.82</v>
      </c>
      <c r="BM51" s="168">
        <v>171691.71491053625</v>
      </c>
      <c r="BN51" s="171">
        <v>184004.62</v>
      </c>
      <c r="BO51" s="168">
        <f t="shared" si="15"/>
        <v>-12312.91</v>
      </c>
      <c r="BP51" s="175">
        <v>168055</v>
      </c>
      <c r="BQ51" s="175">
        <v>170106.51</v>
      </c>
      <c r="BR51" s="248">
        <v>164330.88</v>
      </c>
      <c r="BS51" s="247">
        <v>178760.90999999997</v>
      </c>
      <c r="BT51" s="175">
        <f t="shared" si="16"/>
        <v>-14430.03</v>
      </c>
      <c r="BU51" s="175">
        <v>168055</v>
      </c>
      <c r="BV51" s="175">
        <v>181145.29</v>
      </c>
      <c r="BW51" s="248">
        <v>156103.99</v>
      </c>
      <c r="BX51" s="247">
        <v>164273.48000000001</v>
      </c>
      <c r="BY51" s="175">
        <f t="shared" si="17"/>
        <v>-8169.49</v>
      </c>
      <c r="BZ51" s="176">
        <f t="shared" si="18"/>
        <v>698120</v>
      </c>
      <c r="CA51" s="176">
        <f t="shared" si="18"/>
        <v>702913.05</v>
      </c>
      <c r="CB51" s="176">
        <f t="shared" si="18"/>
        <v>648216.22840244393</v>
      </c>
      <c r="CC51" s="176">
        <f t="shared" si="18"/>
        <v>694084.53</v>
      </c>
      <c r="CD51" s="177">
        <f t="shared" si="19"/>
        <v>-45868.3</v>
      </c>
      <c r="CE51" s="170">
        <v>168055</v>
      </c>
      <c r="CF51" s="168">
        <v>200235.91</v>
      </c>
      <c r="CG51" s="168">
        <v>174525.43</v>
      </c>
      <c r="CH51" s="174">
        <v>167024.01</v>
      </c>
      <c r="CI51" s="168">
        <f t="shared" si="20"/>
        <v>7501.42</v>
      </c>
      <c r="CJ51" s="168"/>
      <c r="CK51" s="168"/>
      <c r="CL51" s="168"/>
      <c r="CM51" s="171"/>
      <c r="CN51" s="168">
        <f t="shared" si="21"/>
        <v>0</v>
      </c>
      <c r="CO51" s="175"/>
      <c r="CP51" s="175"/>
      <c r="CQ51" s="248"/>
      <c r="CR51" s="247"/>
      <c r="CS51" s="175">
        <f t="shared" si="22"/>
        <v>0</v>
      </c>
      <c r="CT51" s="175"/>
      <c r="CU51" s="175"/>
      <c r="CV51" s="248"/>
      <c r="CW51" s="247"/>
      <c r="CX51" s="175">
        <f t="shared" si="23"/>
        <v>0</v>
      </c>
      <c r="CY51" s="176">
        <f t="shared" si="24"/>
        <v>168055</v>
      </c>
      <c r="CZ51" s="176">
        <f t="shared" si="25"/>
        <v>200235.91</v>
      </c>
      <c r="DA51" s="176">
        <f t="shared" si="34"/>
        <v>174525.43</v>
      </c>
      <c r="DB51" s="176">
        <f t="shared" si="27"/>
        <v>167024.01</v>
      </c>
      <c r="DC51" s="177">
        <f t="shared" si="28"/>
        <v>7501.42</v>
      </c>
      <c r="DD51" s="178">
        <f t="shared" si="29"/>
        <v>2515110</v>
      </c>
      <c r="DE51" s="176">
        <f t="shared" si="30"/>
        <v>2565993.7979000006</v>
      </c>
      <c r="DF51" s="176">
        <f t="shared" si="31"/>
        <v>2476680.987320526</v>
      </c>
      <c r="DG51" s="176">
        <f t="shared" si="32"/>
        <v>2504490.84</v>
      </c>
      <c r="DH51" s="177">
        <f t="shared" si="33"/>
        <v>-27809.85</v>
      </c>
    </row>
    <row r="52" spans="1:112" x14ac:dyDescent="0.3">
      <c r="A52" s="97" t="s">
        <v>62</v>
      </c>
      <c r="B52" s="115">
        <v>9</v>
      </c>
      <c r="C52" s="166">
        <v>61969.33</v>
      </c>
      <c r="D52" s="167">
        <v>61192.5</v>
      </c>
      <c r="E52" s="168">
        <v>61192.5</v>
      </c>
      <c r="F52" s="168">
        <v>88895.9</v>
      </c>
      <c r="G52" s="169">
        <f t="shared" si="2"/>
        <v>-27703.4</v>
      </c>
      <c r="H52" s="170">
        <v>71480.53</v>
      </c>
      <c r="I52" s="168">
        <v>67769.2</v>
      </c>
      <c r="J52" s="168">
        <v>67769.199409144203</v>
      </c>
      <c r="K52" s="168">
        <v>59668.85</v>
      </c>
      <c r="L52" s="171">
        <f t="shared" si="0"/>
        <v>8100.35</v>
      </c>
      <c r="M52" s="168">
        <v>63456</v>
      </c>
      <c r="N52" s="168">
        <v>63456</v>
      </c>
      <c r="O52" s="168">
        <v>63456</v>
      </c>
      <c r="P52" s="168">
        <v>60594.9</v>
      </c>
      <c r="Q52" s="171">
        <f t="shared" si="3"/>
        <v>2861.1</v>
      </c>
      <c r="R52" s="168">
        <v>63456</v>
      </c>
      <c r="S52" s="168">
        <v>87816.755250000017</v>
      </c>
      <c r="T52" s="168">
        <v>87816.755250000017</v>
      </c>
      <c r="U52" s="168">
        <v>54042.05</v>
      </c>
      <c r="V52" s="171">
        <f t="shared" si="4"/>
        <v>33774.71</v>
      </c>
      <c r="W52" s="168">
        <v>88895.9</v>
      </c>
      <c r="X52" s="168">
        <v>87206.87999999999</v>
      </c>
      <c r="Y52" s="168">
        <v>87206.87999999999</v>
      </c>
      <c r="Z52" s="168">
        <v>60052.75</v>
      </c>
      <c r="AA52" s="171">
        <f t="shared" si="5"/>
        <v>27154.13</v>
      </c>
      <c r="AB52" s="172">
        <f t="shared" si="6"/>
        <v>287288.43</v>
      </c>
      <c r="AC52" s="172">
        <f t="shared" si="6"/>
        <v>306248.83525</v>
      </c>
      <c r="AD52" s="172">
        <f t="shared" si="6"/>
        <v>306248.83465914422</v>
      </c>
      <c r="AE52" s="172">
        <f t="shared" si="6"/>
        <v>234358.55</v>
      </c>
      <c r="AF52" s="173">
        <f t="shared" si="7"/>
        <v>71890.28</v>
      </c>
      <c r="AG52" s="170">
        <v>61626</v>
      </c>
      <c r="AH52" s="168">
        <v>44593.240000000005</v>
      </c>
      <c r="AI52" s="168">
        <v>44593.240000000005</v>
      </c>
      <c r="AJ52" s="168">
        <v>62825.440000000002</v>
      </c>
      <c r="AK52" s="171">
        <f t="shared" si="8"/>
        <v>-18232.2</v>
      </c>
      <c r="AL52" s="168">
        <v>61626</v>
      </c>
      <c r="AM52" s="168">
        <v>41499.94</v>
      </c>
      <c r="AN52" s="168">
        <v>41499.94</v>
      </c>
      <c r="AO52" s="168">
        <v>66475.5</v>
      </c>
      <c r="AP52" s="171">
        <f t="shared" si="9"/>
        <v>-24975.56</v>
      </c>
      <c r="AQ52" s="168">
        <v>67353</v>
      </c>
      <c r="AR52" s="168">
        <v>66373.87</v>
      </c>
      <c r="AS52" s="168">
        <v>65699.875474163317</v>
      </c>
      <c r="AT52" s="168">
        <v>73102.45</v>
      </c>
      <c r="AU52" s="171">
        <f t="shared" si="10"/>
        <v>-7402.57</v>
      </c>
      <c r="AV52" s="168">
        <v>61886</v>
      </c>
      <c r="AW52" s="168">
        <v>61731.29</v>
      </c>
      <c r="AX52" s="168">
        <v>59429.29</v>
      </c>
      <c r="AY52" s="171">
        <v>74439.86</v>
      </c>
      <c r="AZ52" s="171">
        <f t="shared" si="11"/>
        <v>-15010.57</v>
      </c>
      <c r="BA52" s="172">
        <f t="shared" si="12"/>
        <v>252491</v>
      </c>
      <c r="BB52" s="172">
        <f t="shared" si="12"/>
        <v>214198.34</v>
      </c>
      <c r="BC52" s="172">
        <f t="shared" si="12"/>
        <v>211222.34547416333</v>
      </c>
      <c r="BD52" s="172">
        <f t="shared" si="12"/>
        <v>276843.25</v>
      </c>
      <c r="BE52" s="173">
        <f t="shared" si="13"/>
        <v>-65620.899999999994</v>
      </c>
      <c r="BF52" s="170">
        <v>76399</v>
      </c>
      <c r="BG52" s="168">
        <v>98449.87</v>
      </c>
      <c r="BH52" s="168">
        <v>90911.041148041884</v>
      </c>
      <c r="BI52" s="174">
        <v>72224.45</v>
      </c>
      <c r="BJ52" s="168">
        <f t="shared" si="14"/>
        <v>18686.59</v>
      </c>
      <c r="BK52" s="168">
        <v>74130</v>
      </c>
      <c r="BL52" s="168">
        <v>70134.53</v>
      </c>
      <c r="BM52" s="168">
        <v>65934.739461624471</v>
      </c>
      <c r="BN52" s="171">
        <v>75063.34</v>
      </c>
      <c r="BO52" s="168">
        <f t="shared" si="15"/>
        <v>-9128.6</v>
      </c>
      <c r="BP52" s="175">
        <v>72716</v>
      </c>
      <c r="BQ52" s="175">
        <v>68010.460000000006</v>
      </c>
      <c r="BR52" s="248">
        <v>65701.3</v>
      </c>
      <c r="BS52" s="247">
        <v>65653.8</v>
      </c>
      <c r="BT52" s="175">
        <f t="shared" si="16"/>
        <v>47.5</v>
      </c>
      <c r="BU52" s="175">
        <v>79721</v>
      </c>
      <c r="BV52" s="175">
        <v>102298.55</v>
      </c>
      <c r="BW52" s="248">
        <v>88156.93</v>
      </c>
      <c r="BX52" s="247">
        <v>92858.64</v>
      </c>
      <c r="BY52" s="175">
        <f t="shared" si="17"/>
        <v>-4701.71</v>
      </c>
      <c r="BZ52" s="176">
        <f t="shared" si="18"/>
        <v>302966</v>
      </c>
      <c r="CA52" s="176">
        <f t="shared" si="18"/>
        <v>338893.41</v>
      </c>
      <c r="CB52" s="176">
        <f t="shared" si="18"/>
        <v>310704.01060966635</v>
      </c>
      <c r="CC52" s="176">
        <f t="shared" si="18"/>
        <v>305800.23</v>
      </c>
      <c r="CD52" s="177">
        <f t="shared" si="19"/>
        <v>4903.78</v>
      </c>
      <c r="CE52" s="170">
        <v>80416</v>
      </c>
      <c r="CF52" s="168">
        <v>82635.570000000007</v>
      </c>
      <c r="CG52" s="168">
        <v>72025.09</v>
      </c>
      <c r="CH52" s="174">
        <v>99361.3</v>
      </c>
      <c r="CI52" s="168">
        <f t="shared" si="20"/>
        <v>-27336.21</v>
      </c>
      <c r="CJ52" s="168"/>
      <c r="CK52" s="168"/>
      <c r="CL52" s="168"/>
      <c r="CM52" s="171"/>
      <c r="CN52" s="168">
        <f t="shared" si="21"/>
        <v>0</v>
      </c>
      <c r="CO52" s="175"/>
      <c r="CP52" s="175"/>
      <c r="CQ52" s="248"/>
      <c r="CR52" s="247"/>
      <c r="CS52" s="175">
        <f t="shared" si="22"/>
        <v>0</v>
      </c>
      <c r="CT52" s="175"/>
      <c r="CU52" s="175"/>
      <c r="CV52" s="248"/>
      <c r="CW52" s="247"/>
      <c r="CX52" s="175">
        <f t="shared" si="23"/>
        <v>0</v>
      </c>
      <c r="CY52" s="176">
        <f t="shared" si="24"/>
        <v>80416</v>
      </c>
      <c r="CZ52" s="176">
        <f t="shared" si="25"/>
        <v>82635.570000000007</v>
      </c>
      <c r="DA52" s="176">
        <f t="shared" si="34"/>
        <v>72025.09</v>
      </c>
      <c r="DB52" s="176">
        <f t="shared" si="27"/>
        <v>99361.3</v>
      </c>
      <c r="DC52" s="177">
        <f t="shared" si="28"/>
        <v>-27336.21</v>
      </c>
      <c r="DD52" s="178">
        <f t="shared" si="29"/>
        <v>985130.76</v>
      </c>
      <c r="DE52" s="176">
        <f t="shared" si="30"/>
        <v>1003168.6552500001</v>
      </c>
      <c r="DF52" s="176">
        <f t="shared" si="31"/>
        <v>961392.7807429739</v>
      </c>
      <c r="DG52" s="176">
        <f t="shared" si="32"/>
        <v>1005259.23</v>
      </c>
      <c r="DH52" s="177">
        <f t="shared" si="33"/>
        <v>-43866.45</v>
      </c>
    </row>
    <row r="53" spans="1:112" x14ac:dyDescent="0.3">
      <c r="A53" s="97" t="s">
        <v>63</v>
      </c>
      <c r="B53" s="115">
        <v>12</v>
      </c>
      <c r="C53" s="166">
        <v>215909.84000000003</v>
      </c>
      <c r="D53" s="167">
        <v>213203.24</v>
      </c>
      <c r="E53" s="168">
        <v>213203.24</v>
      </c>
      <c r="F53" s="168">
        <v>222482.9</v>
      </c>
      <c r="G53" s="169">
        <f t="shared" si="2"/>
        <v>-9279.66</v>
      </c>
      <c r="H53" s="170">
        <v>207022</v>
      </c>
      <c r="I53" s="168">
        <v>196273.24</v>
      </c>
      <c r="J53" s="168">
        <v>196273.23972108</v>
      </c>
      <c r="K53" s="168">
        <v>172417.71</v>
      </c>
      <c r="L53" s="171">
        <f t="shared" si="0"/>
        <v>23855.53</v>
      </c>
      <c r="M53" s="168">
        <v>216891.66</v>
      </c>
      <c r="N53" s="168">
        <v>216891.66</v>
      </c>
      <c r="O53" s="168">
        <v>216891.66</v>
      </c>
      <c r="P53" s="168">
        <v>206092.62</v>
      </c>
      <c r="Q53" s="171">
        <f t="shared" si="3"/>
        <v>10799.04</v>
      </c>
      <c r="R53" s="168">
        <v>204999</v>
      </c>
      <c r="S53" s="168">
        <v>196771.03001999998</v>
      </c>
      <c r="T53" s="168">
        <v>196771.03001999998</v>
      </c>
      <c r="U53" s="168">
        <v>197786.04</v>
      </c>
      <c r="V53" s="171">
        <f t="shared" si="4"/>
        <v>-1015.01</v>
      </c>
      <c r="W53" s="168">
        <v>203314.34</v>
      </c>
      <c r="X53" s="168">
        <v>199451.37</v>
      </c>
      <c r="Y53" s="168">
        <v>199451.37</v>
      </c>
      <c r="Z53" s="168">
        <v>208712.82</v>
      </c>
      <c r="AA53" s="171">
        <f t="shared" si="5"/>
        <v>-9261.4500000000007</v>
      </c>
      <c r="AB53" s="172">
        <f t="shared" si="6"/>
        <v>832227</v>
      </c>
      <c r="AC53" s="172">
        <f t="shared" si="6"/>
        <v>809387.30001999997</v>
      </c>
      <c r="AD53" s="172">
        <f t="shared" si="6"/>
        <v>809387.29974107991</v>
      </c>
      <c r="AE53" s="172">
        <f t="shared" si="6"/>
        <v>785009.19</v>
      </c>
      <c r="AF53" s="173">
        <f t="shared" si="7"/>
        <v>24378.11</v>
      </c>
      <c r="AG53" s="170">
        <v>179830</v>
      </c>
      <c r="AH53" s="168">
        <v>155470.1</v>
      </c>
      <c r="AI53" s="168">
        <v>155470.1</v>
      </c>
      <c r="AJ53" s="168">
        <v>187153.91999999998</v>
      </c>
      <c r="AK53" s="171">
        <f t="shared" si="8"/>
        <v>-31683.82</v>
      </c>
      <c r="AL53" s="168">
        <v>215790</v>
      </c>
      <c r="AM53" s="168">
        <v>225051.45</v>
      </c>
      <c r="AN53" s="168">
        <v>225051.45</v>
      </c>
      <c r="AO53" s="168">
        <v>219399.59999999998</v>
      </c>
      <c r="AP53" s="171">
        <f t="shared" si="9"/>
        <v>5651.85</v>
      </c>
      <c r="AQ53" s="168">
        <v>204808</v>
      </c>
      <c r="AR53" s="168">
        <v>215741.52</v>
      </c>
      <c r="AS53" s="168">
        <v>213550.76928024105</v>
      </c>
      <c r="AT53" s="168">
        <v>206001.83</v>
      </c>
      <c r="AU53" s="171">
        <f t="shared" si="10"/>
        <v>7548.94</v>
      </c>
      <c r="AV53" s="168">
        <v>230536</v>
      </c>
      <c r="AW53" s="168">
        <v>241469.52</v>
      </c>
      <c r="AX53" s="168">
        <v>232464.97</v>
      </c>
      <c r="AY53" s="171">
        <v>224379.86</v>
      </c>
      <c r="AZ53" s="171">
        <f t="shared" si="11"/>
        <v>8085.11</v>
      </c>
      <c r="BA53" s="172">
        <f t="shared" si="12"/>
        <v>830964</v>
      </c>
      <c r="BB53" s="172">
        <f t="shared" si="12"/>
        <v>837732.59000000008</v>
      </c>
      <c r="BC53" s="172">
        <f t="shared" si="12"/>
        <v>826537.28928024112</v>
      </c>
      <c r="BD53" s="172">
        <f t="shared" si="12"/>
        <v>836935.21</v>
      </c>
      <c r="BE53" s="173">
        <f t="shared" si="13"/>
        <v>-10397.92</v>
      </c>
      <c r="BF53" s="170">
        <v>183076.63</v>
      </c>
      <c r="BG53" s="168">
        <v>183076.62</v>
      </c>
      <c r="BH53" s="168">
        <v>169057.47193027707</v>
      </c>
      <c r="BI53" s="174">
        <v>174208.48</v>
      </c>
      <c r="BJ53" s="168">
        <f t="shared" si="14"/>
        <v>-5151.01</v>
      </c>
      <c r="BK53" s="168">
        <v>214798</v>
      </c>
      <c r="BL53" s="168">
        <v>232242.53</v>
      </c>
      <c r="BM53" s="168">
        <v>218335.40065725835</v>
      </c>
      <c r="BN53" s="171">
        <v>183606.61</v>
      </c>
      <c r="BO53" s="168">
        <f t="shared" si="15"/>
        <v>34728.79</v>
      </c>
      <c r="BP53" s="175">
        <v>207664</v>
      </c>
      <c r="BQ53" s="175">
        <v>212815.01</v>
      </c>
      <c r="BR53" s="248">
        <v>205589.3</v>
      </c>
      <c r="BS53" s="247">
        <v>183207.12</v>
      </c>
      <c r="BT53" s="175">
        <f t="shared" si="16"/>
        <v>22382.18</v>
      </c>
      <c r="BU53" s="175">
        <v>223212</v>
      </c>
      <c r="BV53" s="175">
        <v>188483.21</v>
      </c>
      <c r="BW53" s="248">
        <v>162427.53</v>
      </c>
      <c r="BX53" s="247">
        <v>197690.69</v>
      </c>
      <c r="BY53" s="175">
        <f t="shared" si="17"/>
        <v>-35263.160000000003</v>
      </c>
      <c r="BZ53" s="176">
        <f t="shared" si="18"/>
        <v>828750.63</v>
      </c>
      <c r="CA53" s="176">
        <f t="shared" si="18"/>
        <v>816617.37</v>
      </c>
      <c r="CB53" s="176">
        <f t="shared" si="18"/>
        <v>755409.70258753537</v>
      </c>
      <c r="CC53" s="176">
        <f t="shared" si="18"/>
        <v>738712.89999999991</v>
      </c>
      <c r="CD53" s="177">
        <f t="shared" si="19"/>
        <v>16696.8</v>
      </c>
      <c r="CE53" s="170">
        <v>200985</v>
      </c>
      <c r="CF53" s="168">
        <v>200985</v>
      </c>
      <c r="CG53" s="168">
        <v>175178.34</v>
      </c>
      <c r="CH53" s="174">
        <v>157318.57</v>
      </c>
      <c r="CI53" s="168">
        <f t="shared" si="20"/>
        <v>17859.77</v>
      </c>
      <c r="CJ53" s="168"/>
      <c r="CK53" s="168"/>
      <c r="CL53" s="168"/>
      <c r="CM53" s="171"/>
      <c r="CN53" s="168">
        <f t="shared" si="21"/>
        <v>0</v>
      </c>
      <c r="CO53" s="175"/>
      <c r="CP53" s="175"/>
      <c r="CQ53" s="248"/>
      <c r="CR53" s="247"/>
      <c r="CS53" s="175">
        <f t="shared" si="22"/>
        <v>0</v>
      </c>
      <c r="CT53" s="175"/>
      <c r="CU53" s="175"/>
      <c r="CV53" s="248"/>
      <c r="CW53" s="247"/>
      <c r="CX53" s="175">
        <f t="shared" si="23"/>
        <v>0</v>
      </c>
      <c r="CY53" s="176">
        <f t="shared" si="24"/>
        <v>200985</v>
      </c>
      <c r="CZ53" s="176">
        <f t="shared" si="25"/>
        <v>200985</v>
      </c>
      <c r="DA53" s="176">
        <f t="shared" si="34"/>
        <v>175178.34</v>
      </c>
      <c r="DB53" s="176">
        <f t="shared" si="27"/>
        <v>157318.57</v>
      </c>
      <c r="DC53" s="177">
        <f t="shared" si="28"/>
        <v>17859.77</v>
      </c>
      <c r="DD53" s="178">
        <f t="shared" si="29"/>
        <v>2908836.47</v>
      </c>
      <c r="DE53" s="176">
        <f t="shared" si="30"/>
        <v>2877925.5000200002</v>
      </c>
      <c r="DF53" s="176">
        <f t="shared" si="31"/>
        <v>2779715.8716088561</v>
      </c>
      <c r="DG53" s="176">
        <f t="shared" si="32"/>
        <v>2740458.7699999996</v>
      </c>
      <c r="DH53" s="177">
        <f t="shared" si="33"/>
        <v>39257.1</v>
      </c>
    </row>
    <row r="54" spans="1:112" x14ac:dyDescent="0.3">
      <c r="A54" s="97" t="s">
        <v>64</v>
      </c>
      <c r="B54" s="115">
        <v>10</v>
      </c>
      <c r="C54" s="166">
        <v>55992.04</v>
      </c>
      <c r="D54" s="167">
        <v>55290.14</v>
      </c>
      <c r="E54" s="168">
        <v>55290.14</v>
      </c>
      <c r="F54" s="168">
        <v>51223.6</v>
      </c>
      <c r="G54" s="169">
        <f t="shared" si="2"/>
        <v>4066.54</v>
      </c>
      <c r="H54" s="170">
        <v>55992.04</v>
      </c>
      <c r="I54" s="168">
        <v>53084.89</v>
      </c>
      <c r="J54" s="168">
        <v>53084.885130045601</v>
      </c>
      <c r="K54" s="168">
        <v>43018.34</v>
      </c>
      <c r="L54" s="171">
        <f t="shared" si="0"/>
        <v>10066.549999999999</v>
      </c>
      <c r="M54" s="168">
        <v>49631</v>
      </c>
      <c r="N54" s="168">
        <v>32442.959999999999</v>
      </c>
      <c r="O54" s="168">
        <v>32442.959999999999</v>
      </c>
      <c r="P54" s="168">
        <v>53586.430000000008</v>
      </c>
      <c r="Q54" s="171">
        <f t="shared" si="3"/>
        <v>-21143.47</v>
      </c>
      <c r="R54" s="168">
        <v>48068.75</v>
      </c>
      <c r="S54" s="168">
        <v>39277.072440000004</v>
      </c>
      <c r="T54" s="168">
        <v>39277.072440000004</v>
      </c>
      <c r="U54" s="168">
        <v>49599.380000000005</v>
      </c>
      <c r="V54" s="171">
        <f t="shared" si="4"/>
        <v>-10322.31</v>
      </c>
      <c r="W54" s="168">
        <v>46898.34</v>
      </c>
      <c r="X54" s="168">
        <v>46007.27</v>
      </c>
      <c r="Y54" s="168">
        <v>46007.27</v>
      </c>
      <c r="Z54" s="168">
        <v>42283.39</v>
      </c>
      <c r="AA54" s="171">
        <f t="shared" si="5"/>
        <v>3723.88</v>
      </c>
      <c r="AB54" s="172">
        <f t="shared" si="6"/>
        <v>200590.13</v>
      </c>
      <c r="AC54" s="172">
        <f t="shared" si="6"/>
        <v>170812.19244000001</v>
      </c>
      <c r="AD54" s="172">
        <f t="shared" si="6"/>
        <v>170812.18757004561</v>
      </c>
      <c r="AE54" s="172">
        <f t="shared" si="6"/>
        <v>188487.54000000004</v>
      </c>
      <c r="AF54" s="173">
        <f t="shared" si="7"/>
        <v>-17675.349999999999</v>
      </c>
      <c r="AG54" s="170">
        <v>56303</v>
      </c>
      <c r="AH54" s="168">
        <v>73635.69</v>
      </c>
      <c r="AI54" s="168">
        <v>73635.69</v>
      </c>
      <c r="AJ54" s="168">
        <v>55701.49</v>
      </c>
      <c r="AK54" s="171">
        <f t="shared" si="8"/>
        <v>17934.2</v>
      </c>
      <c r="AL54" s="168">
        <v>50531</v>
      </c>
      <c r="AM54" s="168">
        <v>30462.82</v>
      </c>
      <c r="AN54" s="168">
        <v>30462.82</v>
      </c>
      <c r="AO54" s="168">
        <v>42241.81</v>
      </c>
      <c r="AP54" s="171">
        <f t="shared" si="9"/>
        <v>-11778.99</v>
      </c>
      <c r="AQ54" s="168">
        <v>30747</v>
      </c>
      <c r="AR54" s="168">
        <v>38200.6</v>
      </c>
      <c r="AS54" s="168">
        <v>37812.691395549533</v>
      </c>
      <c r="AT54" s="168">
        <v>73942.929999999993</v>
      </c>
      <c r="AU54" s="171">
        <f t="shared" si="10"/>
        <v>-36130.239999999998</v>
      </c>
      <c r="AV54" s="168">
        <v>53523</v>
      </c>
      <c r="AW54" s="168">
        <v>90330.8</v>
      </c>
      <c r="AX54" s="168">
        <v>86962.31</v>
      </c>
      <c r="AY54" s="171">
        <v>81846.94</v>
      </c>
      <c r="AZ54" s="171">
        <f t="shared" si="11"/>
        <v>5115.37</v>
      </c>
      <c r="BA54" s="172">
        <f t="shared" si="12"/>
        <v>191104</v>
      </c>
      <c r="BB54" s="172">
        <f t="shared" si="12"/>
        <v>232629.91000000003</v>
      </c>
      <c r="BC54" s="172">
        <f t="shared" si="12"/>
        <v>228873.51139554955</v>
      </c>
      <c r="BD54" s="172">
        <f t="shared" si="12"/>
        <v>253733.16999999998</v>
      </c>
      <c r="BE54" s="173">
        <f t="shared" si="13"/>
        <v>-24859.66</v>
      </c>
      <c r="BF54" s="170">
        <v>71422</v>
      </c>
      <c r="BG54" s="168">
        <v>80158.06</v>
      </c>
      <c r="BH54" s="168">
        <v>74019.932083274558</v>
      </c>
      <c r="BI54" s="174">
        <v>46092.21</v>
      </c>
      <c r="BJ54" s="168">
        <f t="shared" si="14"/>
        <v>27927.72</v>
      </c>
      <c r="BK54" s="168">
        <v>59805</v>
      </c>
      <c r="BL54" s="168">
        <v>23370.410000000003</v>
      </c>
      <c r="BM54" s="168">
        <v>21970.944903478263</v>
      </c>
      <c r="BN54" s="171">
        <v>75329.34</v>
      </c>
      <c r="BO54" s="168">
        <f t="shared" si="15"/>
        <v>-53358.400000000001</v>
      </c>
      <c r="BP54" s="175">
        <v>71325</v>
      </c>
      <c r="BQ54" s="175">
        <v>92750.790000000008</v>
      </c>
      <c r="BR54" s="248">
        <v>89601.62</v>
      </c>
      <c r="BS54" s="247">
        <v>58393.09</v>
      </c>
      <c r="BT54" s="175">
        <f t="shared" si="16"/>
        <v>31208.53</v>
      </c>
      <c r="BU54" s="175">
        <v>65663</v>
      </c>
      <c r="BV54" s="175">
        <v>88845.78</v>
      </c>
      <c r="BW54" s="248">
        <v>76563.850000000006</v>
      </c>
      <c r="BX54" s="247">
        <v>63110.16</v>
      </c>
      <c r="BY54" s="175">
        <f t="shared" si="17"/>
        <v>13453.69</v>
      </c>
      <c r="BZ54" s="176">
        <f t="shared" si="18"/>
        <v>268215</v>
      </c>
      <c r="CA54" s="176">
        <f t="shared" si="18"/>
        <v>285125.04000000004</v>
      </c>
      <c r="CB54" s="176">
        <f t="shared" si="18"/>
        <v>262156.34698675282</v>
      </c>
      <c r="CC54" s="176">
        <f t="shared" si="18"/>
        <v>242924.79999999999</v>
      </c>
      <c r="CD54" s="177">
        <f t="shared" si="19"/>
        <v>19231.55</v>
      </c>
      <c r="CE54" s="170">
        <v>58181</v>
      </c>
      <c r="CF54" s="168">
        <v>0</v>
      </c>
      <c r="CG54" s="168">
        <v>0</v>
      </c>
      <c r="CH54" s="174">
        <v>53281.37</v>
      </c>
      <c r="CI54" s="168">
        <f t="shared" si="20"/>
        <v>-53281.37</v>
      </c>
      <c r="CJ54" s="168"/>
      <c r="CK54" s="168"/>
      <c r="CL54" s="168"/>
      <c r="CM54" s="171"/>
      <c r="CN54" s="168">
        <f t="shared" si="21"/>
        <v>0</v>
      </c>
      <c r="CO54" s="175"/>
      <c r="CP54" s="175"/>
      <c r="CQ54" s="248"/>
      <c r="CR54" s="247"/>
      <c r="CS54" s="175">
        <f t="shared" si="22"/>
        <v>0</v>
      </c>
      <c r="CT54" s="175"/>
      <c r="CU54" s="175"/>
      <c r="CV54" s="248"/>
      <c r="CW54" s="247"/>
      <c r="CX54" s="175">
        <f t="shared" si="23"/>
        <v>0</v>
      </c>
      <c r="CY54" s="176">
        <f t="shared" si="24"/>
        <v>58181</v>
      </c>
      <c r="CZ54" s="176">
        <f t="shared" si="25"/>
        <v>0</v>
      </c>
      <c r="DA54" s="176">
        <f t="shared" si="34"/>
        <v>0</v>
      </c>
      <c r="DB54" s="176">
        <f t="shared" si="27"/>
        <v>53281.37</v>
      </c>
      <c r="DC54" s="177">
        <f t="shared" si="28"/>
        <v>-53281.37</v>
      </c>
      <c r="DD54" s="178">
        <f t="shared" si="29"/>
        <v>774082.17</v>
      </c>
      <c r="DE54" s="176">
        <f t="shared" si="30"/>
        <v>743857.2824400001</v>
      </c>
      <c r="DF54" s="176">
        <f t="shared" si="31"/>
        <v>717132.18595234794</v>
      </c>
      <c r="DG54" s="176">
        <f t="shared" si="32"/>
        <v>789650.4800000001</v>
      </c>
      <c r="DH54" s="177">
        <f t="shared" si="33"/>
        <v>-72518.289999999994</v>
      </c>
    </row>
    <row r="55" spans="1:112" x14ac:dyDescent="0.3">
      <c r="A55" s="97" t="s">
        <v>11</v>
      </c>
      <c r="B55" s="115">
        <v>11</v>
      </c>
      <c r="C55" s="166">
        <v>181570</v>
      </c>
      <c r="D55" s="167">
        <v>179293.88</v>
      </c>
      <c r="E55" s="168">
        <v>179293.88</v>
      </c>
      <c r="F55" s="168">
        <v>157868.9</v>
      </c>
      <c r="G55" s="169">
        <f t="shared" si="2"/>
        <v>21424.98</v>
      </c>
      <c r="H55" s="170">
        <v>183210</v>
      </c>
      <c r="I55" s="168">
        <v>173697.58</v>
      </c>
      <c r="J55" s="168">
        <v>173697.57923939999</v>
      </c>
      <c r="K55" s="168">
        <v>140648.63</v>
      </c>
      <c r="L55" s="171">
        <f t="shared" si="0"/>
        <v>33048.949999999997</v>
      </c>
      <c r="M55" s="168">
        <v>167034</v>
      </c>
      <c r="N55" s="168">
        <v>145609.02000000002</v>
      </c>
      <c r="O55" s="168">
        <v>145609.02000000002</v>
      </c>
      <c r="P55" s="168">
        <v>170906.71</v>
      </c>
      <c r="Q55" s="171">
        <f t="shared" si="3"/>
        <v>-25297.69</v>
      </c>
      <c r="R55" s="168">
        <v>177732</v>
      </c>
      <c r="S55" s="168">
        <v>162520.00144000005</v>
      </c>
      <c r="T55" s="168">
        <v>162520.00144000005</v>
      </c>
      <c r="U55" s="168">
        <v>165105.45000000001</v>
      </c>
      <c r="V55" s="171">
        <f t="shared" si="4"/>
        <v>-2585.4499999999998</v>
      </c>
      <c r="W55" s="168">
        <v>156217.15</v>
      </c>
      <c r="X55" s="168">
        <v>153249.01999999999</v>
      </c>
      <c r="Y55" s="168">
        <v>153249.01999999999</v>
      </c>
      <c r="Z55" s="168">
        <v>154816.79</v>
      </c>
      <c r="AA55" s="171">
        <f t="shared" si="5"/>
        <v>-1567.77</v>
      </c>
      <c r="AB55" s="172">
        <f t="shared" si="6"/>
        <v>684193.15</v>
      </c>
      <c r="AC55" s="172">
        <f t="shared" si="6"/>
        <v>635075.62144000002</v>
      </c>
      <c r="AD55" s="172">
        <f t="shared" si="6"/>
        <v>635075.62067940005</v>
      </c>
      <c r="AE55" s="172">
        <f t="shared" si="6"/>
        <v>631477.57999999996</v>
      </c>
      <c r="AF55" s="173">
        <f t="shared" si="7"/>
        <v>3598.04</v>
      </c>
      <c r="AG55" s="170">
        <v>147988</v>
      </c>
      <c r="AH55" s="168">
        <v>121397.20999999999</v>
      </c>
      <c r="AI55" s="168">
        <v>121397.20999999999</v>
      </c>
      <c r="AJ55" s="168">
        <v>150730.87</v>
      </c>
      <c r="AK55" s="171">
        <f t="shared" si="8"/>
        <v>-29333.66</v>
      </c>
      <c r="AL55" s="168">
        <v>188160</v>
      </c>
      <c r="AM55" s="168">
        <v>189727.77</v>
      </c>
      <c r="AN55" s="168">
        <v>189727.77</v>
      </c>
      <c r="AO55" s="168">
        <v>168713.69</v>
      </c>
      <c r="AP55" s="171">
        <f t="shared" si="9"/>
        <v>21014.080000000002</v>
      </c>
      <c r="AQ55" s="168">
        <v>165710</v>
      </c>
      <c r="AR55" s="168">
        <v>149006.56</v>
      </c>
      <c r="AS55" s="168">
        <v>147493.47050026531</v>
      </c>
      <c r="AT55" s="168">
        <v>152573.47</v>
      </c>
      <c r="AU55" s="171">
        <f t="shared" si="10"/>
        <v>-5080</v>
      </c>
      <c r="AV55" s="168">
        <v>159450</v>
      </c>
      <c r="AW55" s="168">
        <v>160963.09</v>
      </c>
      <c r="AX55" s="168">
        <v>154960.68</v>
      </c>
      <c r="AY55" s="171">
        <v>150189.43</v>
      </c>
      <c r="AZ55" s="171">
        <f t="shared" si="11"/>
        <v>4771.25</v>
      </c>
      <c r="BA55" s="172">
        <f t="shared" si="12"/>
        <v>661308</v>
      </c>
      <c r="BB55" s="172">
        <f t="shared" si="12"/>
        <v>621094.63</v>
      </c>
      <c r="BC55" s="172">
        <f t="shared" si="12"/>
        <v>613579.13050026528</v>
      </c>
      <c r="BD55" s="172">
        <f t="shared" si="12"/>
        <v>622207.46</v>
      </c>
      <c r="BE55" s="173">
        <f t="shared" si="13"/>
        <v>-8628.33</v>
      </c>
      <c r="BF55" s="170">
        <v>163302</v>
      </c>
      <c r="BG55" s="168">
        <v>159931.32</v>
      </c>
      <c r="BH55" s="168">
        <v>147684.53034402843</v>
      </c>
      <c r="BI55" s="174">
        <v>144506.64000000001</v>
      </c>
      <c r="BJ55" s="168">
        <f t="shared" si="14"/>
        <v>3177.89</v>
      </c>
      <c r="BK55" s="168">
        <v>179320</v>
      </c>
      <c r="BL55" s="168">
        <v>180075.22</v>
      </c>
      <c r="BM55" s="168">
        <v>169291.96950766916</v>
      </c>
      <c r="BN55" s="171">
        <v>160913.64000000001</v>
      </c>
      <c r="BO55" s="168">
        <f t="shared" si="15"/>
        <v>8378.33</v>
      </c>
      <c r="BP55" s="175">
        <v>160004</v>
      </c>
      <c r="BQ55" s="175">
        <v>151034.14000000001</v>
      </c>
      <c r="BR55" s="248">
        <v>145906.07999999999</v>
      </c>
      <c r="BS55" s="247">
        <v>160114.28</v>
      </c>
      <c r="BT55" s="175">
        <f t="shared" si="16"/>
        <v>-14208.2</v>
      </c>
      <c r="BU55" s="175">
        <v>160080</v>
      </c>
      <c r="BV55" s="175">
        <v>165799.59</v>
      </c>
      <c r="BW55" s="248">
        <v>142879.66</v>
      </c>
      <c r="BX55" s="247">
        <v>155093.79</v>
      </c>
      <c r="BY55" s="175">
        <f t="shared" si="17"/>
        <v>-12214.13</v>
      </c>
      <c r="BZ55" s="176">
        <f t="shared" si="18"/>
        <v>662706</v>
      </c>
      <c r="CA55" s="176">
        <f t="shared" si="18"/>
        <v>656840.27</v>
      </c>
      <c r="CB55" s="176">
        <f t="shared" si="18"/>
        <v>605762.23985169758</v>
      </c>
      <c r="CC55" s="176">
        <f t="shared" si="18"/>
        <v>620628.35000000009</v>
      </c>
      <c r="CD55" s="177">
        <f t="shared" si="19"/>
        <v>-14866.11</v>
      </c>
      <c r="CE55" s="170">
        <v>150274</v>
      </c>
      <c r="CF55" s="168">
        <v>181682.54</v>
      </c>
      <c r="CG55" s="168">
        <v>158354.32999999999</v>
      </c>
      <c r="CH55" s="174">
        <v>146843.02000000002</v>
      </c>
      <c r="CI55" s="168">
        <f t="shared" si="20"/>
        <v>11511.31</v>
      </c>
      <c r="CJ55" s="168"/>
      <c r="CK55" s="168"/>
      <c r="CL55" s="168"/>
      <c r="CM55" s="171"/>
      <c r="CN55" s="168">
        <f t="shared" si="21"/>
        <v>0</v>
      </c>
      <c r="CO55" s="175"/>
      <c r="CP55" s="175"/>
      <c r="CQ55" s="248"/>
      <c r="CR55" s="247"/>
      <c r="CS55" s="175">
        <f t="shared" si="22"/>
        <v>0</v>
      </c>
      <c r="CT55" s="175"/>
      <c r="CU55" s="175"/>
      <c r="CV55" s="248"/>
      <c r="CW55" s="247"/>
      <c r="CX55" s="175">
        <f t="shared" si="23"/>
        <v>0</v>
      </c>
      <c r="CY55" s="176">
        <f t="shared" si="24"/>
        <v>150274</v>
      </c>
      <c r="CZ55" s="176">
        <f t="shared" si="25"/>
        <v>181682.54</v>
      </c>
      <c r="DA55" s="176">
        <f t="shared" si="34"/>
        <v>158354.32999999999</v>
      </c>
      <c r="DB55" s="176">
        <f t="shared" si="27"/>
        <v>146843.02000000002</v>
      </c>
      <c r="DC55" s="177">
        <f t="shared" si="28"/>
        <v>11511.31</v>
      </c>
      <c r="DD55" s="178">
        <f t="shared" si="29"/>
        <v>2340051.15</v>
      </c>
      <c r="DE55" s="176">
        <f t="shared" si="30"/>
        <v>2273986.9414400002</v>
      </c>
      <c r="DF55" s="176">
        <f t="shared" si="31"/>
        <v>2192065.2010313626</v>
      </c>
      <c r="DG55" s="176">
        <f t="shared" si="32"/>
        <v>2179025.31</v>
      </c>
      <c r="DH55" s="177">
        <f t="shared" si="33"/>
        <v>13039.89</v>
      </c>
    </row>
    <row r="56" spans="1:112" x14ac:dyDescent="0.3">
      <c r="A56" s="97" t="s">
        <v>65</v>
      </c>
      <c r="B56" s="115">
        <v>10</v>
      </c>
      <c r="C56" s="166">
        <v>90590.92</v>
      </c>
      <c r="D56" s="167">
        <v>89455.29</v>
      </c>
      <c r="E56" s="168">
        <v>89455.29</v>
      </c>
      <c r="F56" s="168">
        <v>108067.48</v>
      </c>
      <c r="G56" s="169">
        <f>ROUND((E56-F56),2)</f>
        <v>-18612.189999999999</v>
      </c>
      <c r="H56" s="170">
        <v>95683.26999999999</v>
      </c>
      <c r="I56" s="168">
        <v>90715.31</v>
      </c>
      <c r="J56" s="168">
        <v>90715.312333987793</v>
      </c>
      <c r="K56" s="168">
        <v>91048.209999999992</v>
      </c>
      <c r="L56" s="171">
        <f t="shared" si="0"/>
        <v>-332.9</v>
      </c>
      <c r="M56" s="168">
        <v>105400</v>
      </c>
      <c r="N56" s="168">
        <v>105400</v>
      </c>
      <c r="O56" s="168">
        <v>105400</v>
      </c>
      <c r="P56" s="168">
        <v>86905.540000000008</v>
      </c>
      <c r="Q56" s="171">
        <f t="shared" si="3"/>
        <v>18494.46</v>
      </c>
      <c r="R56" s="168">
        <v>87000</v>
      </c>
      <c r="S56" s="168">
        <v>95758.439850000039</v>
      </c>
      <c r="T56" s="168">
        <v>95758.439850000039</v>
      </c>
      <c r="U56" s="168">
        <v>89166.22</v>
      </c>
      <c r="V56" s="171">
        <f t="shared" si="4"/>
        <v>6592.22</v>
      </c>
      <c r="W56" s="168">
        <v>90000</v>
      </c>
      <c r="X56" s="168">
        <v>88290</v>
      </c>
      <c r="Y56" s="168">
        <v>88290</v>
      </c>
      <c r="Z56" s="168">
        <v>71183.069999999992</v>
      </c>
      <c r="AA56" s="171">
        <f t="shared" si="5"/>
        <v>17106.93</v>
      </c>
      <c r="AB56" s="172">
        <f t="shared" si="6"/>
        <v>378083.27</v>
      </c>
      <c r="AC56" s="172">
        <f t="shared" si="6"/>
        <v>380163.74985000002</v>
      </c>
      <c r="AD56" s="172">
        <f t="shared" si="6"/>
        <v>380163.75218398782</v>
      </c>
      <c r="AE56" s="172">
        <f t="shared" si="6"/>
        <v>338303.04</v>
      </c>
      <c r="AF56" s="173">
        <f t="shared" si="7"/>
        <v>41860.71</v>
      </c>
      <c r="AG56" s="170">
        <v>80000</v>
      </c>
      <c r="AH56" s="168">
        <v>73858.41</v>
      </c>
      <c r="AI56" s="168">
        <v>73858.41</v>
      </c>
      <c r="AJ56" s="168">
        <v>78283.91</v>
      </c>
      <c r="AK56" s="171">
        <f t="shared" si="8"/>
        <v>-4425.5</v>
      </c>
      <c r="AL56" s="168">
        <v>87000</v>
      </c>
      <c r="AM56" s="168">
        <v>69893.070000000007</v>
      </c>
      <c r="AN56" s="168">
        <v>69893.070000000007</v>
      </c>
      <c r="AO56" s="168">
        <v>93301.239999999991</v>
      </c>
      <c r="AP56" s="171">
        <f t="shared" si="9"/>
        <v>-23408.17</v>
      </c>
      <c r="AQ56" s="168">
        <v>85600</v>
      </c>
      <c r="AR56" s="168">
        <v>90185.15</v>
      </c>
      <c r="AS56" s="168">
        <v>89269.363450085701</v>
      </c>
      <c r="AT56" s="168">
        <v>81484.41</v>
      </c>
      <c r="AU56" s="171">
        <f t="shared" si="10"/>
        <v>7784.95</v>
      </c>
      <c r="AV56" s="168">
        <v>79100</v>
      </c>
      <c r="AW56" s="168">
        <v>74725.7</v>
      </c>
      <c r="AX56" s="168">
        <v>71939.12999999999</v>
      </c>
      <c r="AY56" s="171">
        <v>98294.959999999992</v>
      </c>
      <c r="AZ56" s="171">
        <f t="shared" si="11"/>
        <v>-26355.83</v>
      </c>
      <c r="BA56" s="172">
        <f t="shared" si="12"/>
        <v>331700</v>
      </c>
      <c r="BB56" s="172">
        <f t="shared" si="12"/>
        <v>308662.33</v>
      </c>
      <c r="BC56" s="172">
        <f t="shared" si="12"/>
        <v>304959.97345008573</v>
      </c>
      <c r="BD56" s="172">
        <f t="shared" si="12"/>
        <v>351364.52</v>
      </c>
      <c r="BE56" s="173">
        <f t="shared" si="13"/>
        <v>-46404.55</v>
      </c>
      <c r="BF56" s="170">
        <v>78500</v>
      </c>
      <c r="BG56" s="168">
        <v>86150.7</v>
      </c>
      <c r="BH56" s="168">
        <v>79553.683845723834</v>
      </c>
      <c r="BI56" s="174">
        <v>82444.47</v>
      </c>
      <c r="BJ56" s="168">
        <f t="shared" si="14"/>
        <v>-2890.79</v>
      </c>
      <c r="BK56" s="168">
        <v>90750</v>
      </c>
      <c r="BL56" s="168">
        <v>121606.45999999999</v>
      </c>
      <c r="BM56" s="168">
        <v>114324.43130296101</v>
      </c>
      <c r="BN56" s="171">
        <v>109224.88</v>
      </c>
      <c r="BO56" s="168">
        <f t="shared" si="15"/>
        <v>5099.55</v>
      </c>
      <c r="BP56" s="175">
        <v>82800</v>
      </c>
      <c r="BQ56" s="175">
        <v>87414.48</v>
      </c>
      <c r="BR56" s="248">
        <v>84446.5</v>
      </c>
      <c r="BS56" s="247">
        <v>91549.82</v>
      </c>
      <c r="BT56" s="175">
        <f t="shared" si="16"/>
        <v>-7103.32</v>
      </c>
      <c r="BU56" s="175">
        <v>88000</v>
      </c>
      <c r="BV56" s="175">
        <v>85643.9</v>
      </c>
      <c r="BW56" s="248">
        <v>73804.59</v>
      </c>
      <c r="BX56" s="247">
        <v>95364.35</v>
      </c>
      <c r="BY56" s="175">
        <f t="shared" si="17"/>
        <v>-21559.759999999998</v>
      </c>
      <c r="BZ56" s="176">
        <f t="shared" si="18"/>
        <v>340050</v>
      </c>
      <c r="CA56" s="176">
        <f t="shared" si="18"/>
        <v>380815.53999999992</v>
      </c>
      <c r="CB56" s="176">
        <f t="shared" si="18"/>
        <v>352129.20514868479</v>
      </c>
      <c r="CC56" s="176">
        <f t="shared" si="18"/>
        <v>378583.52</v>
      </c>
      <c r="CD56" s="177">
        <f t="shared" si="19"/>
        <v>-26454.31</v>
      </c>
      <c r="CE56" s="170">
        <v>85000</v>
      </c>
      <c r="CF56" s="168">
        <v>113103.29000000001</v>
      </c>
      <c r="CG56" s="168">
        <v>98580.72</v>
      </c>
      <c r="CH56" s="174">
        <v>84065.64</v>
      </c>
      <c r="CI56" s="168">
        <f t="shared" si="20"/>
        <v>14515.08</v>
      </c>
      <c r="CJ56" s="168"/>
      <c r="CK56" s="168"/>
      <c r="CL56" s="168"/>
      <c r="CM56" s="171"/>
      <c r="CN56" s="168">
        <f t="shared" si="21"/>
        <v>0</v>
      </c>
      <c r="CO56" s="175"/>
      <c r="CP56" s="175"/>
      <c r="CQ56" s="248"/>
      <c r="CR56" s="247"/>
      <c r="CS56" s="175">
        <f t="shared" si="22"/>
        <v>0</v>
      </c>
      <c r="CT56" s="175"/>
      <c r="CU56" s="175"/>
      <c r="CV56" s="248"/>
      <c r="CW56" s="247"/>
      <c r="CX56" s="175">
        <f t="shared" si="23"/>
        <v>0</v>
      </c>
      <c r="CY56" s="176">
        <f t="shared" si="24"/>
        <v>85000</v>
      </c>
      <c r="CZ56" s="176">
        <f t="shared" si="25"/>
        <v>113103.29000000001</v>
      </c>
      <c r="DA56" s="176">
        <f t="shared" si="34"/>
        <v>98580.72</v>
      </c>
      <c r="DB56" s="176">
        <f t="shared" si="27"/>
        <v>84065.64</v>
      </c>
      <c r="DC56" s="177">
        <f t="shared" si="28"/>
        <v>14515.08</v>
      </c>
      <c r="DD56" s="178">
        <f t="shared" si="29"/>
        <v>1225424.19</v>
      </c>
      <c r="DE56" s="176">
        <f t="shared" si="30"/>
        <v>1272200.19985</v>
      </c>
      <c r="DF56" s="176">
        <f t="shared" si="31"/>
        <v>1225288.9407827582</v>
      </c>
      <c r="DG56" s="176">
        <f t="shared" si="32"/>
        <v>1260384.2</v>
      </c>
      <c r="DH56" s="177">
        <f t="shared" si="33"/>
        <v>-35095.26</v>
      </c>
    </row>
    <row r="57" spans="1:112" x14ac:dyDescent="0.3">
      <c r="A57" s="97" t="s">
        <v>66</v>
      </c>
      <c r="B57" s="115">
        <v>5</v>
      </c>
      <c r="C57" s="166">
        <v>25710</v>
      </c>
      <c r="D57" s="167">
        <v>25387.7</v>
      </c>
      <c r="E57" s="168">
        <v>25387.7</v>
      </c>
      <c r="F57" s="168">
        <v>28345.449999999997</v>
      </c>
      <c r="G57" s="169">
        <f t="shared" si="2"/>
        <v>-2957.75</v>
      </c>
      <c r="H57" s="170">
        <v>38934</v>
      </c>
      <c r="I57" s="168">
        <v>36912.51</v>
      </c>
      <c r="J57" s="168">
        <v>36912.513236760002</v>
      </c>
      <c r="K57" s="168">
        <v>26456.11</v>
      </c>
      <c r="L57" s="171">
        <f t="shared" si="0"/>
        <v>10456.4</v>
      </c>
      <c r="M57" s="168">
        <v>33059.599999999999</v>
      </c>
      <c r="N57" s="168">
        <v>33059.599999999999</v>
      </c>
      <c r="O57" s="168">
        <v>33059.599999999999</v>
      </c>
      <c r="P57" s="168">
        <v>28808.48</v>
      </c>
      <c r="Q57" s="171">
        <f t="shared" si="3"/>
        <v>4251.12</v>
      </c>
      <c r="R57" s="168">
        <v>32366</v>
      </c>
      <c r="S57" s="168">
        <v>22554.15561999999</v>
      </c>
      <c r="T57" s="168">
        <v>22554.15561999999</v>
      </c>
      <c r="U57" s="168">
        <v>26982.799999999999</v>
      </c>
      <c r="V57" s="171">
        <f t="shared" si="4"/>
        <v>-4428.6400000000003</v>
      </c>
      <c r="W57" s="168">
        <v>26350</v>
      </c>
      <c r="X57" s="168">
        <v>25849.35</v>
      </c>
      <c r="Y57" s="168">
        <v>25849.35</v>
      </c>
      <c r="Z57" s="168">
        <v>26891.440000000002</v>
      </c>
      <c r="AA57" s="171">
        <f t="shared" si="5"/>
        <v>-1042.0899999999999</v>
      </c>
      <c r="AB57" s="172">
        <f t="shared" si="6"/>
        <v>130709.6</v>
      </c>
      <c r="AC57" s="172">
        <f t="shared" si="6"/>
        <v>118375.61562</v>
      </c>
      <c r="AD57" s="172">
        <f t="shared" si="6"/>
        <v>118375.61885675997</v>
      </c>
      <c r="AE57" s="172">
        <f t="shared" si="6"/>
        <v>109138.83</v>
      </c>
      <c r="AF57" s="173">
        <f t="shared" si="7"/>
        <v>9236.7900000000009</v>
      </c>
      <c r="AG57" s="170">
        <v>25850</v>
      </c>
      <c r="AH57" s="168">
        <v>18528.87</v>
      </c>
      <c r="AI57" s="168">
        <v>18528.87</v>
      </c>
      <c r="AJ57" s="168">
        <v>26378.89</v>
      </c>
      <c r="AK57" s="171">
        <f t="shared" si="8"/>
        <v>-7850.02</v>
      </c>
      <c r="AL57" s="168">
        <v>37550</v>
      </c>
      <c r="AM57" s="168">
        <v>40483.379999999997</v>
      </c>
      <c r="AN57" s="168">
        <v>40483.379999999997</v>
      </c>
      <c r="AO57" s="168">
        <v>26068.560000000001</v>
      </c>
      <c r="AP57" s="171">
        <f t="shared" si="9"/>
        <v>14414.82</v>
      </c>
      <c r="AQ57" s="168">
        <v>27600</v>
      </c>
      <c r="AR57" s="168">
        <v>14756.16</v>
      </c>
      <c r="AS57" s="168">
        <v>14606.318336972512</v>
      </c>
      <c r="AT57" s="168">
        <v>24037.54</v>
      </c>
      <c r="AU57" s="171">
        <f t="shared" si="10"/>
        <v>-9431.2199999999993</v>
      </c>
      <c r="AV57" s="168">
        <v>27000</v>
      </c>
      <c r="AW57" s="168">
        <v>20549.84</v>
      </c>
      <c r="AX57" s="168">
        <v>19783.52</v>
      </c>
      <c r="AY57" s="171">
        <v>26607.079999999998</v>
      </c>
      <c r="AZ57" s="171">
        <f t="shared" si="11"/>
        <v>-6823.56</v>
      </c>
      <c r="BA57" s="172">
        <f t="shared" si="12"/>
        <v>118000</v>
      </c>
      <c r="BB57" s="172">
        <f t="shared" si="12"/>
        <v>94318.25</v>
      </c>
      <c r="BC57" s="172">
        <f t="shared" si="12"/>
        <v>93402.08833697252</v>
      </c>
      <c r="BD57" s="172">
        <f t="shared" si="12"/>
        <v>103092.06999999999</v>
      </c>
      <c r="BE57" s="173">
        <f t="shared" si="13"/>
        <v>-9689.98</v>
      </c>
      <c r="BF57" s="170">
        <v>23350</v>
      </c>
      <c r="BG57" s="168">
        <v>36347.699999999997</v>
      </c>
      <c r="BH57" s="168">
        <v>33564.363775560923</v>
      </c>
      <c r="BI57" s="174">
        <v>19923.730000000003</v>
      </c>
      <c r="BJ57" s="168">
        <f t="shared" si="14"/>
        <v>13640.63</v>
      </c>
      <c r="BK57" s="168">
        <v>25200</v>
      </c>
      <c r="BL57" s="168">
        <v>22459.200000000001</v>
      </c>
      <c r="BM57" s="168">
        <v>21114.299910707556</v>
      </c>
      <c r="BN57" s="171">
        <v>20205.590000000004</v>
      </c>
      <c r="BO57" s="168">
        <f t="shared" si="15"/>
        <v>908.71</v>
      </c>
      <c r="BP57" s="175">
        <v>26400</v>
      </c>
      <c r="BQ57" s="175">
        <v>15245.07</v>
      </c>
      <c r="BR57" s="248">
        <v>14727.45</v>
      </c>
      <c r="BS57" s="247">
        <v>28922.43</v>
      </c>
      <c r="BT57" s="175">
        <f t="shared" si="16"/>
        <v>-14194.98</v>
      </c>
      <c r="BU57" s="175">
        <v>20930</v>
      </c>
      <c r="BV57" s="175">
        <v>30416.42</v>
      </c>
      <c r="BW57" s="248">
        <v>26211.69</v>
      </c>
      <c r="BX57" s="247">
        <v>28015.54</v>
      </c>
      <c r="BY57" s="175">
        <f t="shared" si="17"/>
        <v>-1803.85</v>
      </c>
      <c r="BZ57" s="176">
        <f t="shared" si="18"/>
        <v>95880</v>
      </c>
      <c r="CA57" s="176">
        <f t="shared" si="18"/>
        <v>104468.39</v>
      </c>
      <c r="CB57" s="176">
        <f t="shared" si="18"/>
        <v>95617.803686268482</v>
      </c>
      <c r="CC57" s="176">
        <f t="shared" si="18"/>
        <v>97067.290000000008</v>
      </c>
      <c r="CD57" s="177">
        <f t="shared" si="19"/>
        <v>-1449.49</v>
      </c>
      <c r="CE57" s="170">
        <v>26400</v>
      </c>
      <c r="CF57" s="168">
        <v>37660.949999999997</v>
      </c>
      <c r="CG57" s="168">
        <v>32825.25</v>
      </c>
      <c r="CH57" s="174">
        <v>26545.979999999996</v>
      </c>
      <c r="CI57" s="168">
        <f t="shared" si="20"/>
        <v>6279.27</v>
      </c>
      <c r="CJ57" s="168"/>
      <c r="CK57" s="168"/>
      <c r="CL57" s="168"/>
      <c r="CM57" s="171"/>
      <c r="CN57" s="168">
        <f t="shared" si="21"/>
        <v>0</v>
      </c>
      <c r="CO57" s="175"/>
      <c r="CP57" s="175"/>
      <c r="CQ57" s="248"/>
      <c r="CR57" s="247"/>
      <c r="CS57" s="175">
        <f t="shared" si="22"/>
        <v>0</v>
      </c>
      <c r="CT57" s="175"/>
      <c r="CU57" s="175"/>
      <c r="CV57" s="248"/>
      <c r="CW57" s="247"/>
      <c r="CX57" s="175">
        <f t="shared" si="23"/>
        <v>0</v>
      </c>
      <c r="CY57" s="176">
        <f t="shared" si="24"/>
        <v>26400</v>
      </c>
      <c r="CZ57" s="176">
        <f t="shared" si="25"/>
        <v>37660.949999999997</v>
      </c>
      <c r="DA57" s="176">
        <f t="shared" si="34"/>
        <v>32825.25</v>
      </c>
      <c r="DB57" s="176">
        <f t="shared" si="27"/>
        <v>26545.979999999996</v>
      </c>
      <c r="DC57" s="177">
        <f t="shared" si="28"/>
        <v>6279.27</v>
      </c>
      <c r="DD57" s="178">
        <f t="shared" si="29"/>
        <v>396699.6</v>
      </c>
      <c r="DE57" s="176">
        <f t="shared" si="30"/>
        <v>380210.90562000003</v>
      </c>
      <c r="DF57" s="176">
        <f t="shared" si="31"/>
        <v>365608.46088000096</v>
      </c>
      <c r="DG57" s="176">
        <f t="shared" si="32"/>
        <v>364189.62</v>
      </c>
      <c r="DH57" s="177">
        <f t="shared" si="33"/>
        <v>1418.84</v>
      </c>
    </row>
    <row r="58" spans="1:112" x14ac:dyDescent="0.3">
      <c r="A58" s="97" t="s">
        <v>67</v>
      </c>
      <c r="B58" s="115">
        <v>7</v>
      </c>
      <c r="C58" s="166">
        <v>43775.6</v>
      </c>
      <c r="D58" s="167">
        <v>43226.84</v>
      </c>
      <c r="E58" s="168">
        <v>43226.84</v>
      </c>
      <c r="F58" s="168">
        <v>44710.89</v>
      </c>
      <c r="G58" s="169">
        <f t="shared" si="2"/>
        <v>-1484.05</v>
      </c>
      <c r="H58" s="170">
        <v>46791</v>
      </c>
      <c r="I58" s="168">
        <v>44361.57</v>
      </c>
      <c r="J58" s="168">
        <v>44361.571039739996</v>
      </c>
      <c r="K58" s="168">
        <v>44074.39</v>
      </c>
      <c r="L58" s="171">
        <f t="shared" si="0"/>
        <v>287.18</v>
      </c>
      <c r="M58" s="168">
        <v>47165.96</v>
      </c>
      <c r="N58" s="168">
        <v>47165.96</v>
      </c>
      <c r="O58" s="168">
        <v>47165.96</v>
      </c>
      <c r="P58" s="168">
        <v>44246.950000000004</v>
      </c>
      <c r="Q58" s="171">
        <f t="shared" si="3"/>
        <v>2919.01</v>
      </c>
      <c r="R58" s="168">
        <v>44462</v>
      </c>
      <c r="S58" s="168">
        <v>46757.406839999996</v>
      </c>
      <c r="T58" s="168">
        <v>46757.406839999996</v>
      </c>
      <c r="U58" s="168">
        <v>47449.17</v>
      </c>
      <c r="V58" s="171">
        <f t="shared" si="4"/>
        <v>-691.76</v>
      </c>
      <c r="W58" s="168">
        <v>47112</v>
      </c>
      <c r="X58" s="168">
        <v>46216.87</v>
      </c>
      <c r="Y58" s="168">
        <v>46216.87</v>
      </c>
      <c r="Z58" s="168">
        <v>58880.97</v>
      </c>
      <c r="AA58" s="171">
        <f t="shared" si="5"/>
        <v>-12664.1</v>
      </c>
      <c r="AB58" s="172">
        <f t="shared" si="6"/>
        <v>185530.96</v>
      </c>
      <c r="AC58" s="172">
        <f t="shared" si="6"/>
        <v>184501.80683999998</v>
      </c>
      <c r="AD58" s="172">
        <f t="shared" si="6"/>
        <v>184501.80787973996</v>
      </c>
      <c r="AE58" s="172">
        <f t="shared" si="6"/>
        <v>194651.48</v>
      </c>
      <c r="AF58" s="173">
        <f t="shared" si="7"/>
        <v>-10149.67</v>
      </c>
      <c r="AG58" s="170">
        <v>43923</v>
      </c>
      <c r="AH58" s="168">
        <v>42892.62</v>
      </c>
      <c r="AI58" s="168">
        <v>42892.62</v>
      </c>
      <c r="AJ58" s="168">
        <v>53064.409999999996</v>
      </c>
      <c r="AK58" s="171">
        <f t="shared" si="8"/>
        <v>-10171.790000000001</v>
      </c>
      <c r="AL58" s="168">
        <v>44976</v>
      </c>
      <c r="AM58" s="168">
        <v>57640.1</v>
      </c>
      <c r="AN58" s="168">
        <v>57640.1</v>
      </c>
      <c r="AO58" s="168">
        <v>47565.81</v>
      </c>
      <c r="AP58" s="171">
        <f t="shared" si="9"/>
        <v>10074.290000000001</v>
      </c>
      <c r="AQ58" s="168">
        <v>38830</v>
      </c>
      <c r="AR58" s="168">
        <v>50561.22</v>
      </c>
      <c r="AS58" s="168">
        <v>50047.7952818146</v>
      </c>
      <c r="AT58" s="168">
        <v>41072.639999999999</v>
      </c>
      <c r="AU58" s="171">
        <f t="shared" si="10"/>
        <v>8975.16</v>
      </c>
      <c r="AV58" s="168">
        <v>32290</v>
      </c>
      <c r="AW58" s="168">
        <v>32803.42</v>
      </c>
      <c r="AX58" s="168">
        <v>32290</v>
      </c>
      <c r="AY58" s="171">
        <v>42937.539999999994</v>
      </c>
      <c r="AZ58" s="171">
        <f t="shared" si="11"/>
        <v>-10647.54</v>
      </c>
      <c r="BA58" s="172">
        <f t="shared" si="12"/>
        <v>160019</v>
      </c>
      <c r="BB58" s="172">
        <f t="shared" si="12"/>
        <v>183897.36</v>
      </c>
      <c r="BC58" s="172">
        <f t="shared" si="12"/>
        <v>182870.51528181462</v>
      </c>
      <c r="BD58" s="172">
        <f t="shared" si="12"/>
        <v>184640.39999999997</v>
      </c>
      <c r="BE58" s="173">
        <f t="shared" si="13"/>
        <v>-1769.88</v>
      </c>
      <c r="BF58" s="170">
        <v>38206</v>
      </c>
      <c r="BG58" s="168">
        <v>8265.32</v>
      </c>
      <c r="BH58" s="168">
        <v>7632.4005976009266</v>
      </c>
      <c r="BI58" s="174">
        <v>38550.300000000003</v>
      </c>
      <c r="BJ58" s="168">
        <f t="shared" si="14"/>
        <v>-30917.9</v>
      </c>
      <c r="BK58" s="168">
        <v>36799</v>
      </c>
      <c r="BL58" s="168">
        <v>78729.98000000001</v>
      </c>
      <c r="BM58" s="168">
        <v>74015.477384947269</v>
      </c>
      <c r="BN58" s="171">
        <v>39540.71</v>
      </c>
      <c r="BO58" s="168">
        <f t="shared" si="15"/>
        <v>34474.769999999997</v>
      </c>
      <c r="BP58" s="175">
        <v>37212</v>
      </c>
      <c r="BQ58" s="175">
        <v>31326.42</v>
      </c>
      <c r="BR58" s="248">
        <v>30262.79</v>
      </c>
      <c r="BS58" s="247">
        <v>42399.65</v>
      </c>
      <c r="BT58" s="175">
        <f t="shared" si="16"/>
        <v>-12136.86</v>
      </c>
      <c r="BU58" s="175">
        <v>40005</v>
      </c>
      <c r="BV58" s="175">
        <v>12479.439999999999</v>
      </c>
      <c r="BW58" s="248">
        <v>10754.3</v>
      </c>
      <c r="BX58" s="247">
        <v>42162.34</v>
      </c>
      <c r="BY58" s="175">
        <f t="shared" si="17"/>
        <v>-31408.04</v>
      </c>
      <c r="BZ58" s="176">
        <f t="shared" si="18"/>
        <v>152222</v>
      </c>
      <c r="CA58" s="176">
        <f t="shared" si="18"/>
        <v>130801.16000000002</v>
      </c>
      <c r="CB58" s="176">
        <f t="shared" si="18"/>
        <v>122664.96798254819</v>
      </c>
      <c r="CC58" s="176">
        <f t="shared" si="18"/>
        <v>162653</v>
      </c>
      <c r="CD58" s="177">
        <f t="shared" si="19"/>
        <v>-39988.03</v>
      </c>
      <c r="CE58" s="170">
        <v>41306</v>
      </c>
      <c r="CF58" s="168">
        <v>82693.56</v>
      </c>
      <c r="CG58" s="168">
        <v>72075.63</v>
      </c>
      <c r="CH58" s="174">
        <v>48482.38</v>
      </c>
      <c r="CI58" s="168">
        <f t="shared" si="20"/>
        <v>23593.25</v>
      </c>
      <c r="CJ58" s="168"/>
      <c r="CK58" s="168"/>
      <c r="CL58" s="168"/>
      <c r="CM58" s="171"/>
      <c r="CN58" s="168">
        <f t="shared" si="21"/>
        <v>0</v>
      </c>
      <c r="CO58" s="175"/>
      <c r="CP58" s="175"/>
      <c r="CQ58" s="248"/>
      <c r="CR58" s="247"/>
      <c r="CS58" s="175">
        <f t="shared" si="22"/>
        <v>0</v>
      </c>
      <c r="CT58" s="175"/>
      <c r="CU58" s="175"/>
      <c r="CV58" s="248"/>
      <c r="CW58" s="247"/>
      <c r="CX58" s="175">
        <f t="shared" si="23"/>
        <v>0</v>
      </c>
      <c r="CY58" s="176">
        <f t="shared" si="24"/>
        <v>41306</v>
      </c>
      <c r="CZ58" s="176">
        <f t="shared" si="25"/>
        <v>82693.56</v>
      </c>
      <c r="DA58" s="176">
        <f t="shared" si="34"/>
        <v>72075.63</v>
      </c>
      <c r="DB58" s="176">
        <f t="shared" si="27"/>
        <v>48482.38</v>
      </c>
      <c r="DC58" s="177">
        <f t="shared" si="28"/>
        <v>23593.25</v>
      </c>
      <c r="DD58" s="178">
        <f t="shared" si="29"/>
        <v>582853.56000000006</v>
      </c>
      <c r="DE58" s="176">
        <f t="shared" si="30"/>
        <v>625120.7268399999</v>
      </c>
      <c r="DF58" s="176">
        <f t="shared" si="31"/>
        <v>605339.76114410278</v>
      </c>
      <c r="DG58" s="176">
        <f t="shared" si="32"/>
        <v>635138.15</v>
      </c>
      <c r="DH58" s="177">
        <f t="shared" si="33"/>
        <v>-29798.39</v>
      </c>
    </row>
    <row r="59" spans="1:112" x14ac:dyDescent="0.3">
      <c r="A59" s="97" t="s">
        <v>68</v>
      </c>
      <c r="B59" s="115">
        <v>9</v>
      </c>
      <c r="C59" s="166">
        <v>80360.17</v>
      </c>
      <c r="D59" s="167">
        <v>79352.789999999994</v>
      </c>
      <c r="E59" s="168">
        <v>79352.789999999994</v>
      </c>
      <c r="F59" s="168">
        <v>96454.24</v>
      </c>
      <c r="G59" s="169">
        <f t="shared" si="2"/>
        <v>-17101.45</v>
      </c>
      <c r="H59" s="170">
        <v>87214.720000000001</v>
      </c>
      <c r="I59" s="168">
        <v>82686.460000000006</v>
      </c>
      <c r="J59" s="168">
        <v>82686.456732940802</v>
      </c>
      <c r="K59" s="168">
        <v>73694.850000000006</v>
      </c>
      <c r="L59" s="171">
        <f t="shared" si="0"/>
        <v>8991.61</v>
      </c>
      <c r="M59" s="168">
        <v>83605.440000000002</v>
      </c>
      <c r="N59" s="168">
        <v>83605.440000000002</v>
      </c>
      <c r="O59" s="168">
        <v>83605.440000000002</v>
      </c>
      <c r="P59" s="168">
        <v>85666.5</v>
      </c>
      <c r="Q59" s="171">
        <f t="shared" si="3"/>
        <v>-2061.06</v>
      </c>
      <c r="R59" s="168">
        <v>78656.149999999994</v>
      </c>
      <c r="S59" s="168">
        <v>97265.619749999998</v>
      </c>
      <c r="T59" s="168">
        <v>97265.619749999998</v>
      </c>
      <c r="U59" s="168">
        <v>85583.77</v>
      </c>
      <c r="V59" s="171">
        <f t="shared" si="4"/>
        <v>11681.85</v>
      </c>
      <c r="W59" s="168">
        <v>84863.25</v>
      </c>
      <c r="X59" s="168">
        <v>83250.850000000006</v>
      </c>
      <c r="Y59" s="168">
        <v>83250.850000000006</v>
      </c>
      <c r="Z59" s="168">
        <v>100070.23</v>
      </c>
      <c r="AA59" s="171">
        <f t="shared" si="5"/>
        <v>-16819.38</v>
      </c>
      <c r="AB59" s="172">
        <f t="shared" si="6"/>
        <v>334339.56</v>
      </c>
      <c r="AC59" s="172">
        <f t="shared" si="6"/>
        <v>346808.36975000007</v>
      </c>
      <c r="AD59" s="172">
        <f t="shared" si="6"/>
        <v>346808.36648294085</v>
      </c>
      <c r="AE59" s="172">
        <f t="shared" si="6"/>
        <v>345015.35</v>
      </c>
      <c r="AF59" s="173">
        <f t="shared" si="7"/>
        <v>1793.02</v>
      </c>
      <c r="AG59" s="170">
        <v>86071</v>
      </c>
      <c r="AH59" s="168">
        <v>84560.05</v>
      </c>
      <c r="AI59" s="168">
        <v>84560.05</v>
      </c>
      <c r="AJ59" s="168">
        <v>78849.45</v>
      </c>
      <c r="AK59" s="171">
        <f t="shared" si="8"/>
        <v>5710.6</v>
      </c>
      <c r="AL59" s="168">
        <v>85609</v>
      </c>
      <c r="AM59" s="168">
        <v>97203.86</v>
      </c>
      <c r="AN59" s="168">
        <v>97203.86</v>
      </c>
      <c r="AO59" s="168">
        <v>83936.569999999992</v>
      </c>
      <c r="AP59" s="171">
        <f t="shared" si="9"/>
        <v>13267.29</v>
      </c>
      <c r="AQ59" s="168">
        <v>87928</v>
      </c>
      <c r="AR59" s="168">
        <v>84258.54</v>
      </c>
      <c r="AS59" s="168">
        <v>83402.935306240368</v>
      </c>
      <c r="AT59" s="168">
        <v>94828.160000000003</v>
      </c>
      <c r="AU59" s="171">
        <f t="shared" si="10"/>
        <v>-11425.22</v>
      </c>
      <c r="AV59" s="168">
        <v>87249</v>
      </c>
      <c r="AW59" s="168">
        <v>91336.68</v>
      </c>
      <c r="AX59" s="168">
        <v>87930.68</v>
      </c>
      <c r="AY59" s="171">
        <v>105513.59</v>
      </c>
      <c r="AZ59" s="171">
        <f t="shared" si="11"/>
        <v>-17582.91</v>
      </c>
      <c r="BA59" s="172">
        <f t="shared" si="12"/>
        <v>346857</v>
      </c>
      <c r="BB59" s="172">
        <f t="shared" si="12"/>
        <v>357359.13</v>
      </c>
      <c r="BC59" s="172">
        <f t="shared" si="12"/>
        <v>353097.52530624036</v>
      </c>
      <c r="BD59" s="172">
        <f t="shared" si="12"/>
        <v>363127.77</v>
      </c>
      <c r="BE59" s="173">
        <f t="shared" si="13"/>
        <v>-10030.24</v>
      </c>
      <c r="BF59" s="170">
        <v>89940</v>
      </c>
      <c r="BG59" s="168">
        <v>104736.66</v>
      </c>
      <c r="BH59" s="168">
        <v>96716.41828443727</v>
      </c>
      <c r="BI59" s="174">
        <v>86143.5</v>
      </c>
      <c r="BJ59" s="168">
        <f t="shared" si="14"/>
        <v>10572.92</v>
      </c>
      <c r="BK59" s="168">
        <v>90740</v>
      </c>
      <c r="BL59" s="168">
        <v>92286.84</v>
      </c>
      <c r="BM59" s="168">
        <v>86760.526535739584</v>
      </c>
      <c r="BN59" s="171">
        <v>90693.23000000001</v>
      </c>
      <c r="BO59" s="168">
        <f t="shared" si="15"/>
        <v>-3932.7</v>
      </c>
      <c r="BP59" s="175">
        <v>93219</v>
      </c>
      <c r="BQ59" s="175">
        <v>83090.55</v>
      </c>
      <c r="BR59" s="248">
        <v>80269.38</v>
      </c>
      <c r="BS59" s="247">
        <v>86178.81</v>
      </c>
      <c r="BT59" s="175">
        <f t="shared" si="16"/>
        <v>-5909.43</v>
      </c>
      <c r="BU59" s="175">
        <v>93579</v>
      </c>
      <c r="BV59" s="175">
        <v>107375.32</v>
      </c>
      <c r="BW59" s="248">
        <v>92531.89</v>
      </c>
      <c r="BX59" s="247">
        <v>93263.46</v>
      </c>
      <c r="BY59" s="175">
        <f t="shared" si="17"/>
        <v>-731.57</v>
      </c>
      <c r="BZ59" s="176">
        <f t="shared" si="18"/>
        <v>367478</v>
      </c>
      <c r="CA59" s="176">
        <f t="shared" si="18"/>
        <v>387489.37</v>
      </c>
      <c r="CB59" s="176">
        <f t="shared" si="18"/>
        <v>356278.21482017689</v>
      </c>
      <c r="CC59" s="176">
        <f t="shared" si="18"/>
        <v>356279.00000000006</v>
      </c>
      <c r="CD59" s="177">
        <f t="shared" si="19"/>
        <v>-0.79</v>
      </c>
      <c r="CE59" s="170">
        <v>91597</v>
      </c>
      <c r="CF59" s="168">
        <v>93266.63</v>
      </c>
      <c r="CG59" s="168">
        <v>81291.11</v>
      </c>
      <c r="CH59" s="174">
        <v>72467.929999999993</v>
      </c>
      <c r="CI59" s="168">
        <f t="shared" si="20"/>
        <v>8823.18</v>
      </c>
      <c r="CJ59" s="168"/>
      <c r="CK59" s="168"/>
      <c r="CL59" s="168"/>
      <c r="CM59" s="171"/>
      <c r="CN59" s="168">
        <f t="shared" si="21"/>
        <v>0</v>
      </c>
      <c r="CO59" s="175"/>
      <c r="CP59" s="175"/>
      <c r="CQ59" s="248"/>
      <c r="CR59" s="247"/>
      <c r="CS59" s="175">
        <f t="shared" si="22"/>
        <v>0</v>
      </c>
      <c r="CT59" s="175"/>
      <c r="CU59" s="175"/>
      <c r="CV59" s="248"/>
      <c r="CW59" s="247"/>
      <c r="CX59" s="175">
        <f t="shared" si="23"/>
        <v>0</v>
      </c>
      <c r="CY59" s="176">
        <f t="shared" si="24"/>
        <v>91597</v>
      </c>
      <c r="CZ59" s="176">
        <f t="shared" si="25"/>
        <v>93266.63</v>
      </c>
      <c r="DA59" s="176">
        <f t="shared" si="34"/>
        <v>81291.11</v>
      </c>
      <c r="DB59" s="176">
        <f t="shared" si="27"/>
        <v>72467.929999999993</v>
      </c>
      <c r="DC59" s="177">
        <f t="shared" si="28"/>
        <v>8823.18</v>
      </c>
      <c r="DD59" s="178">
        <f t="shared" si="29"/>
        <v>1220631.73</v>
      </c>
      <c r="DE59" s="176">
        <f t="shared" si="30"/>
        <v>1264276.28975</v>
      </c>
      <c r="DF59" s="176">
        <f t="shared" si="31"/>
        <v>1216828.0066093581</v>
      </c>
      <c r="DG59" s="176">
        <f t="shared" si="32"/>
        <v>1233344.29</v>
      </c>
      <c r="DH59" s="177">
        <f t="shared" si="33"/>
        <v>-16516.28</v>
      </c>
    </row>
    <row r="60" spans="1:112" x14ac:dyDescent="0.3">
      <c r="A60" s="97" t="s">
        <v>69</v>
      </c>
      <c r="B60" s="115">
        <v>9</v>
      </c>
      <c r="C60" s="166">
        <v>54490</v>
      </c>
      <c r="D60" s="167">
        <v>53806.92</v>
      </c>
      <c r="E60" s="168">
        <v>53806.92</v>
      </c>
      <c r="F60" s="168">
        <v>45397.130000000005</v>
      </c>
      <c r="G60" s="169">
        <f t="shared" si="2"/>
        <v>8409.7900000000009</v>
      </c>
      <c r="H60" s="170">
        <v>50913.21</v>
      </c>
      <c r="I60" s="168">
        <v>48269.75</v>
      </c>
      <c r="J60" s="168">
        <v>48269.752351439398</v>
      </c>
      <c r="K60" s="168">
        <v>48601.05</v>
      </c>
      <c r="L60" s="171">
        <f t="shared" si="0"/>
        <v>-331.3</v>
      </c>
      <c r="M60" s="168">
        <v>47465</v>
      </c>
      <c r="N60" s="168">
        <v>38677.980000000003</v>
      </c>
      <c r="O60" s="168">
        <v>38677.980000000003</v>
      </c>
      <c r="P60" s="168">
        <v>48119.231</v>
      </c>
      <c r="Q60" s="171">
        <f t="shared" si="3"/>
        <v>-9441.25</v>
      </c>
      <c r="R60" s="168">
        <v>46932.69</v>
      </c>
      <c r="S60" s="168">
        <v>52518.380080000017</v>
      </c>
      <c r="T60" s="168">
        <v>52518.380080000017</v>
      </c>
      <c r="U60" s="168">
        <v>51406.19</v>
      </c>
      <c r="V60" s="171">
        <f t="shared" si="4"/>
        <v>1112.19</v>
      </c>
      <c r="W60" s="168">
        <v>51134</v>
      </c>
      <c r="X60" s="168">
        <v>50162.45</v>
      </c>
      <c r="Y60" s="168">
        <v>50162.45</v>
      </c>
      <c r="Z60" s="168">
        <v>43754.31</v>
      </c>
      <c r="AA60" s="171">
        <f t="shared" si="5"/>
        <v>6408.14</v>
      </c>
      <c r="AB60" s="172">
        <f t="shared" si="6"/>
        <v>196444.9</v>
      </c>
      <c r="AC60" s="172">
        <f t="shared" si="6"/>
        <v>189628.56008000002</v>
      </c>
      <c r="AD60" s="172">
        <f t="shared" si="6"/>
        <v>189628.56243143941</v>
      </c>
      <c r="AE60" s="172">
        <f t="shared" si="6"/>
        <v>191880.78100000002</v>
      </c>
      <c r="AF60" s="173">
        <f t="shared" si="7"/>
        <v>-2252.2199999999998</v>
      </c>
      <c r="AG60" s="170">
        <v>53814</v>
      </c>
      <c r="AH60" s="168">
        <v>54064.58</v>
      </c>
      <c r="AI60" s="168">
        <v>54064.58</v>
      </c>
      <c r="AJ60" s="168">
        <v>53146.600000000006</v>
      </c>
      <c r="AK60" s="171">
        <f t="shared" si="8"/>
        <v>917.98</v>
      </c>
      <c r="AL60" s="168">
        <v>45285</v>
      </c>
      <c r="AM60" s="168">
        <v>25184.19</v>
      </c>
      <c r="AN60" s="168">
        <v>25184.19</v>
      </c>
      <c r="AO60" s="168">
        <v>64403.990000000005</v>
      </c>
      <c r="AP60" s="171">
        <f t="shared" si="9"/>
        <v>-39219.800000000003</v>
      </c>
      <c r="AQ60" s="168">
        <v>59231</v>
      </c>
      <c r="AR60" s="168">
        <v>91375.26</v>
      </c>
      <c r="AS60" s="168">
        <v>90447.388459032081</v>
      </c>
      <c r="AT60" s="168">
        <v>56370.47</v>
      </c>
      <c r="AU60" s="171">
        <f t="shared" si="10"/>
        <v>34076.92</v>
      </c>
      <c r="AV60" s="168">
        <v>55288</v>
      </c>
      <c r="AW60" s="168">
        <v>54715.95</v>
      </c>
      <c r="AX60" s="168">
        <v>52675.56</v>
      </c>
      <c r="AY60" s="171">
        <v>54865.729999999996</v>
      </c>
      <c r="AZ60" s="171">
        <f t="shared" si="11"/>
        <v>-2190.17</v>
      </c>
      <c r="BA60" s="172">
        <f t="shared" si="12"/>
        <v>213618</v>
      </c>
      <c r="BB60" s="172">
        <f t="shared" si="12"/>
        <v>225339.97999999998</v>
      </c>
      <c r="BC60" s="172">
        <f t="shared" si="12"/>
        <v>222371.71845903207</v>
      </c>
      <c r="BD60" s="172">
        <f t="shared" si="12"/>
        <v>228786.78999999998</v>
      </c>
      <c r="BE60" s="173">
        <f t="shared" si="13"/>
        <v>-6415.07</v>
      </c>
      <c r="BF60" s="170">
        <v>57175</v>
      </c>
      <c r="BG60" s="168">
        <v>19647.68</v>
      </c>
      <c r="BH60" s="168">
        <v>18143.152905570718</v>
      </c>
      <c r="BI60" s="174">
        <v>63410.990000000005</v>
      </c>
      <c r="BJ60" s="168">
        <f t="shared" si="14"/>
        <v>-45267.839999999997</v>
      </c>
      <c r="BK60" s="168">
        <v>58959</v>
      </c>
      <c r="BL60" s="168">
        <v>105696.92</v>
      </c>
      <c r="BM60" s="168">
        <v>99367.585155217617</v>
      </c>
      <c r="BN60" s="171">
        <v>57192.639999999999</v>
      </c>
      <c r="BO60" s="168">
        <f t="shared" si="15"/>
        <v>42174.95</v>
      </c>
      <c r="BP60" s="175">
        <v>50447</v>
      </c>
      <c r="BQ60" s="175">
        <v>53312.31</v>
      </c>
      <c r="BR60" s="248">
        <v>51502.2</v>
      </c>
      <c r="BS60" s="247">
        <v>59383.03</v>
      </c>
      <c r="BT60" s="175">
        <f t="shared" si="16"/>
        <v>-7880.83</v>
      </c>
      <c r="BU60" s="175">
        <v>51348</v>
      </c>
      <c r="BV60" s="175">
        <v>61780.74</v>
      </c>
      <c r="BW60" s="248">
        <v>53240.25</v>
      </c>
      <c r="BX60" s="247">
        <v>70154.83</v>
      </c>
      <c r="BY60" s="175">
        <f t="shared" si="17"/>
        <v>-16914.580000000002</v>
      </c>
      <c r="BZ60" s="176">
        <f t="shared" si="18"/>
        <v>217929</v>
      </c>
      <c r="CA60" s="176">
        <f t="shared" si="18"/>
        <v>240437.65</v>
      </c>
      <c r="CB60" s="176">
        <f t="shared" si="18"/>
        <v>222253.18806078832</v>
      </c>
      <c r="CC60" s="176">
        <f t="shared" si="18"/>
        <v>250141.49</v>
      </c>
      <c r="CD60" s="177">
        <f t="shared" si="19"/>
        <v>-27888.3</v>
      </c>
      <c r="CE60" s="170">
        <v>70548</v>
      </c>
      <c r="CF60" s="168">
        <v>81639.240000000005</v>
      </c>
      <c r="CG60" s="168">
        <v>71156.679999999993</v>
      </c>
      <c r="CH60" s="174">
        <v>59221.82</v>
      </c>
      <c r="CI60" s="168">
        <f t="shared" si="20"/>
        <v>11934.86</v>
      </c>
      <c r="CJ60" s="168"/>
      <c r="CK60" s="168"/>
      <c r="CL60" s="168"/>
      <c r="CM60" s="171"/>
      <c r="CN60" s="168">
        <f t="shared" si="21"/>
        <v>0</v>
      </c>
      <c r="CO60" s="175"/>
      <c r="CP60" s="175"/>
      <c r="CQ60" s="248"/>
      <c r="CR60" s="247"/>
      <c r="CS60" s="175">
        <f t="shared" si="22"/>
        <v>0</v>
      </c>
      <c r="CT60" s="175"/>
      <c r="CU60" s="175"/>
      <c r="CV60" s="248"/>
      <c r="CW60" s="247"/>
      <c r="CX60" s="175">
        <f t="shared" si="23"/>
        <v>0</v>
      </c>
      <c r="CY60" s="176">
        <f t="shared" si="24"/>
        <v>70548</v>
      </c>
      <c r="CZ60" s="176">
        <f t="shared" si="25"/>
        <v>81639.240000000005</v>
      </c>
      <c r="DA60" s="176">
        <f t="shared" si="34"/>
        <v>71156.679999999993</v>
      </c>
      <c r="DB60" s="176">
        <f t="shared" si="27"/>
        <v>59221.82</v>
      </c>
      <c r="DC60" s="177">
        <f t="shared" si="28"/>
        <v>11934.86</v>
      </c>
      <c r="DD60" s="178">
        <f t="shared" si="29"/>
        <v>753029.9</v>
      </c>
      <c r="DE60" s="176">
        <f t="shared" si="30"/>
        <v>790852.35008</v>
      </c>
      <c r="DF60" s="176">
        <f t="shared" si="31"/>
        <v>759217.06895125983</v>
      </c>
      <c r="DG60" s="176">
        <f t="shared" si="32"/>
        <v>775428.01099999994</v>
      </c>
      <c r="DH60" s="177">
        <f t="shared" si="33"/>
        <v>-16210.94</v>
      </c>
    </row>
    <row r="61" spans="1:112" x14ac:dyDescent="0.3">
      <c r="A61" s="97" t="s">
        <v>111</v>
      </c>
      <c r="B61" s="115">
        <v>7</v>
      </c>
      <c r="C61" s="166">
        <v>18417.75</v>
      </c>
      <c r="D61" s="167">
        <v>18186.87</v>
      </c>
      <c r="E61" s="168">
        <v>18186.87</v>
      </c>
      <c r="F61" s="168">
        <v>23751.48</v>
      </c>
      <c r="G61" s="169">
        <f t="shared" si="2"/>
        <v>-5564.61</v>
      </c>
      <c r="H61" s="170">
        <v>18545</v>
      </c>
      <c r="I61" s="168">
        <v>17582.13</v>
      </c>
      <c r="J61" s="168">
        <v>17582.127651300001</v>
      </c>
      <c r="K61" s="168">
        <v>16566.39</v>
      </c>
      <c r="L61" s="171">
        <f t="shared" si="0"/>
        <v>1015.74</v>
      </c>
      <c r="M61" s="168">
        <v>18200</v>
      </c>
      <c r="N61" s="168">
        <v>18200</v>
      </c>
      <c r="O61" s="168">
        <v>18200</v>
      </c>
      <c r="P61" s="168">
        <v>16218.01</v>
      </c>
      <c r="Q61" s="171">
        <f t="shared" si="3"/>
        <v>1981.99</v>
      </c>
      <c r="R61" s="168">
        <v>12250</v>
      </c>
      <c r="S61" s="168">
        <v>16239.300479999994</v>
      </c>
      <c r="T61" s="168">
        <v>16239.300479999994</v>
      </c>
      <c r="U61" s="168">
        <v>26047.22</v>
      </c>
      <c r="V61" s="171">
        <f t="shared" si="4"/>
        <v>-9807.92</v>
      </c>
      <c r="W61" s="168">
        <v>28775</v>
      </c>
      <c r="X61" s="168">
        <v>28228.27</v>
      </c>
      <c r="Y61" s="168">
        <v>28228.27</v>
      </c>
      <c r="Z61" s="168">
        <v>27805.850000000002</v>
      </c>
      <c r="AA61" s="171">
        <f t="shared" si="5"/>
        <v>422.42</v>
      </c>
      <c r="AB61" s="172">
        <f t="shared" si="6"/>
        <v>77770</v>
      </c>
      <c r="AC61" s="172">
        <f t="shared" si="6"/>
        <v>80249.70048</v>
      </c>
      <c r="AD61" s="172">
        <f t="shared" si="6"/>
        <v>80249.6981313</v>
      </c>
      <c r="AE61" s="172">
        <f t="shared" si="6"/>
        <v>86637.47</v>
      </c>
      <c r="AF61" s="173">
        <f t="shared" si="7"/>
        <v>-6387.77</v>
      </c>
      <c r="AG61" s="170">
        <v>18950</v>
      </c>
      <c r="AH61" s="168">
        <v>31324.799999999999</v>
      </c>
      <c r="AI61" s="168">
        <v>31324.799999999999</v>
      </c>
      <c r="AJ61" s="168">
        <v>26647.66</v>
      </c>
      <c r="AK61" s="171">
        <f t="shared" si="8"/>
        <v>4677.1400000000003</v>
      </c>
      <c r="AL61" s="168">
        <v>16950</v>
      </c>
      <c r="AM61" s="168">
        <v>19655.37</v>
      </c>
      <c r="AN61" s="168">
        <v>19655.37</v>
      </c>
      <c r="AO61" s="168">
        <v>16941.66</v>
      </c>
      <c r="AP61" s="171">
        <f t="shared" si="9"/>
        <v>2713.71</v>
      </c>
      <c r="AQ61" s="168">
        <v>19700</v>
      </c>
      <c r="AR61" s="168">
        <v>24261.53</v>
      </c>
      <c r="AS61" s="168">
        <v>24015.165905087008</v>
      </c>
      <c r="AT61" s="168">
        <v>19136.68</v>
      </c>
      <c r="AU61" s="171">
        <f t="shared" si="10"/>
        <v>4878.49</v>
      </c>
      <c r="AV61" s="168">
        <v>19225</v>
      </c>
      <c r="AW61" s="168">
        <v>12956.66</v>
      </c>
      <c r="AX61" s="168">
        <v>12473.5</v>
      </c>
      <c r="AY61" s="171">
        <v>23579.85</v>
      </c>
      <c r="AZ61" s="171">
        <f t="shared" si="11"/>
        <v>-11106.35</v>
      </c>
      <c r="BA61" s="172">
        <f t="shared" si="12"/>
        <v>74825</v>
      </c>
      <c r="BB61" s="172">
        <f t="shared" si="12"/>
        <v>88198.36</v>
      </c>
      <c r="BC61" s="172">
        <f t="shared" si="12"/>
        <v>87468.835905087006</v>
      </c>
      <c r="BD61" s="172">
        <f t="shared" si="12"/>
        <v>86305.85</v>
      </c>
      <c r="BE61" s="173">
        <f t="shared" si="13"/>
        <v>1162.99</v>
      </c>
      <c r="BF61" s="170">
        <v>16100</v>
      </c>
      <c r="BG61" s="168">
        <v>15826.3</v>
      </c>
      <c r="BH61" s="168">
        <v>14614.396245736589</v>
      </c>
      <c r="BI61" s="174">
        <v>17519.36</v>
      </c>
      <c r="BJ61" s="168">
        <f t="shared" si="14"/>
        <v>-2904.96</v>
      </c>
      <c r="BK61" s="168">
        <v>20900</v>
      </c>
      <c r="BL61" s="168">
        <v>32114.09</v>
      </c>
      <c r="BM61" s="168">
        <v>30191.036529326706</v>
      </c>
      <c r="BN61" s="171">
        <v>17690.830000000002</v>
      </c>
      <c r="BO61" s="168">
        <f t="shared" si="15"/>
        <v>12500.21</v>
      </c>
      <c r="BP61" s="181">
        <v>21100</v>
      </c>
      <c r="BQ61" s="175">
        <v>12481.26</v>
      </c>
      <c r="BR61" s="248">
        <v>12057.48</v>
      </c>
      <c r="BS61" s="247">
        <v>20161.2</v>
      </c>
      <c r="BT61" s="181">
        <f t="shared" si="16"/>
        <v>-8103.72</v>
      </c>
      <c r="BU61" s="175">
        <v>18150</v>
      </c>
      <c r="BV61" s="175">
        <v>12719.5</v>
      </c>
      <c r="BW61" s="248">
        <v>10961.17</v>
      </c>
      <c r="BX61" s="247">
        <v>23601.83</v>
      </c>
      <c r="BY61" s="175">
        <f t="shared" si="17"/>
        <v>-12640.66</v>
      </c>
      <c r="BZ61" s="176">
        <f t="shared" si="18"/>
        <v>76250</v>
      </c>
      <c r="CA61" s="176">
        <f t="shared" si="18"/>
        <v>73141.149999999994</v>
      </c>
      <c r="CB61" s="176">
        <f t="shared" si="18"/>
        <v>67824.082775063289</v>
      </c>
      <c r="CC61" s="176">
        <f t="shared" si="18"/>
        <v>78973.22</v>
      </c>
      <c r="CD61" s="177">
        <f t="shared" si="19"/>
        <v>-11149.14</v>
      </c>
      <c r="CE61" s="170">
        <v>19800</v>
      </c>
      <c r="CF61" s="168">
        <v>34271.78</v>
      </c>
      <c r="CG61" s="168">
        <v>29871.25</v>
      </c>
      <c r="CH61" s="174">
        <v>15980.06</v>
      </c>
      <c r="CI61" s="168">
        <f t="shared" si="20"/>
        <v>13891.19</v>
      </c>
      <c r="CJ61" s="168"/>
      <c r="CK61" s="168"/>
      <c r="CL61" s="168"/>
      <c r="CM61" s="171"/>
      <c r="CN61" s="168">
        <f t="shared" si="21"/>
        <v>0</v>
      </c>
      <c r="CO61" s="175"/>
      <c r="CP61" s="175"/>
      <c r="CQ61" s="248"/>
      <c r="CR61" s="247"/>
      <c r="CS61" s="175">
        <f t="shared" si="22"/>
        <v>0</v>
      </c>
      <c r="CT61" s="175"/>
      <c r="CU61" s="175"/>
      <c r="CV61" s="248"/>
      <c r="CW61" s="247"/>
      <c r="CX61" s="175">
        <f t="shared" si="23"/>
        <v>0</v>
      </c>
      <c r="CY61" s="176">
        <f t="shared" si="24"/>
        <v>19800</v>
      </c>
      <c r="CZ61" s="176">
        <f t="shared" si="25"/>
        <v>34271.78</v>
      </c>
      <c r="DA61" s="176">
        <f t="shared" si="34"/>
        <v>29871.25</v>
      </c>
      <c r="DB61" s="176">
        <f t="shared" si="27"/>
        <v>15980.06</v>
      </c>
      <c r="DC61" s="177">
        <f t="shared" si="28"/>
        <v>13891.19</v>
      </c>
      <c r="DD61" s="178">
        <f t="shared" si="29"/>
        <v>267062.75</v>
      </c>
      <c r="DE61" s="176">
        <f t="shared" si="30"/>
        <v>294047.86047999997</v>
      </c>
      <c r="DF61" s="176">
        <f t="shared" si="31"/>
        <v>283600.73681145028</v>
      </c>
      <c r="DG61" s="176">
        <f t="shared" si="32"/>
        <v>291648.08</v>
      </c>
      <c r="DH61" s="177">
        <f t="shared" si="33"/>
        <v>-8047.34</v>
      </c>
    </row>
    <row r="62" spans="1:112" x14ac:dyDescent="0.3">
      <c r="A62" s="97" t="s">
        <v>113</v>
      </c>
      <c r="B62" s="115">
        <v>9</v>
      </c>
      <c r="C62" s="166">
        <v>71640</v>
      </c>
      <c r="D62" s="167">
        <v>70741.94</v>
      </c>
      <c r="E62" s="168">
        <v>70741.94</v>
      </c>
      <c r="F62" s="168">
        <v>65489.19</v>
      </c>
      <c r="G62" s="169">
        <f t="shared" si="2"/>
        <v>5252.75</v>
      </c>
      <c r="H62" s="170">
        <v>71770</v>
      </c>
      <c r="I62" s="168">
        <v>68043.64</v>
      </c>
      <c r="J62" s="168">
        <v>68043.6398778</v>
      </c>
      <c r="K62" s="168">
        <v>54760.53</v>
      </c>
      <c r="L62" s="171">
        <f t="shared" si="0"/>
        <v>13283.11</v>
      </c>
      <c r="M62" s="168">
        <v>75567</v>
      </c>
      <c r="N62" s="168">
        <v>70314.25</v>
      </c>
      <c r="O62" s="168">
        <v>70314.25</v>
      </c>
      <c r="P62" s="168">
        <v>66849.460000000006</v>
      </c>
      <c r="Q62" s="171">
        <f t="shared" si="3"/>
        <v>3464.79</v>
      </c>
      <c r="R62" s="168">
        <v>71770</v>
      </c>
      <c r="S62" s="168">
        <v>54447.66889999999</v>
      </c>
      <c r="T62" s="168">
        <v>54447.66889999999</v>
      </c>
      <c r="U62" s="168">
        <v>102355.37</v>
      </c>
      <c r="V62" s="171">
        <f t="shared" si="4"/>
        <v>-47907.7</v>
      </c>
      <c r="W62" s="168">
        <v>76520</v>
      </c>
      <c r="X62" s="168">
        <v>75066.12</v>
      </c>
      <c r="Y62" s="168">
        <v>75066.12</v>
      </c>
      <c r="Z62" s="168">
        <v>59889.22</v>
      </c>
      <c r="AA62" s="171">
        <f t="shared" si="5"/>
        <v>15176.9</v>
      </c>
      <c r="AB62" s="172">
        <f t="shared" si="6"/>
        <v>295627</v>
      </c>
      <c r="AC62" s="172">
        <f t="shared" si="6"/>
        <v>267871.6789</v>
      </c>
      <c r="AD62" s="172">
        <f t="shared" si="6"/>
        <v>267871.6787778</v>
      </c>
      <c r="AE62" s="172">
        <f t="shared" si="6"/>
        <v>283854.57999999996</v>
      </c>
      <c r="AF62" s="173">
        <f t="shared" si="7"/>
        <v>-15982.9</v>
      </c>
      <c r="AG62" s="170">
        <v>83425</v>
      </c>
      <c r="AH62" s="168">
        <v>109332.05</v>
      </c>
      <c r="AI62" s="168">
        <v>109332.05</v>
      </c>
      <c r="AJ62" s="168">
        <v>57679.81</v>
      </c>
      <c r="AK62" s="171">
        <f t="shared" si="8"/>
        <v>51652.24</v>
      </c>
      <c r="AL62" s="168">
        <v>68175</v>
      </c>
      <c r="AM62" s="168">
        <v>39976.400000000001</v>
      </c>
      <c r="AN62" s="168">
        <v>39976.400000000001</v>
      </c>
      <c r="AO62" s="168">
        <v>64114.51999999999</v>
      </c>
      <c r="AP62" s="171">
        <f t="shared" si="9"/>
        <v>-24138.12</v>
      </c>
      <c r="AQ62" s="168">
        <v>77975</v>
      </c>
      <c r="AR62" s="168">
        <v>61191.03</v>
      </c>
      <c r="AS62" s="168">
        <v>60569.664705942138</v>
      </c>
      <c r="AT62" s="168">
        <v>95671.81</v>
      </c>
      <c r="AU62" s="171">
        <f t="shared" si="10"/>
        <v>-35102.15</v>
      </c>
      <c r="AV62" s="168">
        <v>77975</v>
      </c>
      <c r="AW62" s="168">
        <v>77975</v>
      </c>
      <c r="AX62" s="168">
        <v>75067.259999999995</v>
      </c>
      <c r="AY62" s="171">
        <v>81791.390000000014</v>
      </c>
      <c r="AZ62" s="171">
        <f t="shared" si="11"/>
        <v>-6724.13</v>
      </c>
      <c r="BA62" s="172">
        <f t="shared" si="12"/>
        <v>307550</v>
      </c>
      <c r="BB62" s="172">
        <f t="shared" si="12"/>
        <v>288474.48</v>
      </c>
      <c r="BC62" s="172">
        <f t="shared" si="12"/>
        <v>284945.37470594217</v>
      </c>
      <c r="BD62" s="172">
        <f t="shared" si="12"/>
        <v>299257.53000000003</v>
      </c>
      <c r="BE62" s="173">
        <f t="shared" si="13"/>
        <v>-14312.16</v>
      </c>
      <c r="BF62" s="170">
        <v>78649</v>
      </c>
      <c r="BG62" s="168">
        <v>123754.69</v>
      </c>
      <c r="BH62" s="168">
        <v>114278.1368309899</v>
      </c>
      <c r="BI62" s="174">
        <v>52596.92</v>
      </c>
      <c r="BJ62" s="168">
        <f t="shared" si="14"/>
        <v>61681.22</v>
      </c>
      <c r="BK62" s="168">
        <v>78649</v>
      </c>
      <c r="BL62" s="168">
        <v>41367.269999999997</v>
      </c>
      <c r="BM62" s="168">
        <v>38890.118315310217</v>
      </c>
      <c r="BN62" s="171">
        <v>60567.55</v>
      </c>
      <c r="BO62" s="168">
        <f t="shared" si="15"/>
        <v>-21677.43</v>
      </c>
      <c r="BP62" s="175">
        <v>78649</v>
      </c>
      <c r="BQ62" s="175">
        <v>49321.130000000005</v>
      </c>
      <c r="BR62" s="248">
        <v>47646.53</v>
      </c>
      <c r="BS62" s="247">
        <v>114302.95</v>
      </c>
      <c r="BT62" s="175">
        <f t="shared" si="16"/>
        <v>-66656.42</v>
      </c>
      <c r="BU62" s="175">
        <v>78649</v>
      </c>
      <c r="BV62" s="175">
        <v>136679.12</v>
      </c>
      <c r="BW62" s="248">
        <v>117784.77</v>
      </c>
      <c r="BX62" s="247">
        <v>71569.53</v>
      </c>
      <c r="BY62" s="175">
        <f t="shared" si="17"/>
        <v>46215.24</v>
      </c>
      <c r="BZ62" s="176">
        <f t="shared" si="18"/>
        <v>314596</v>
      </c>
      <c r="CA62" s="176">
        <f t="shared" si="18"/>
        <v>351122.20999999996</v>
      </c>
      <c r="CB62" s="176">
        <f t="shared" si="18"/>
        <v>318599.55514630012</v>
      </c>
      <c r="CC62" s="176">
        <f t="shared" si="18"/>
        <v>299036.94999999995</v>
      </c>
      <c r="CD62" s="177">
        <f t="shared" si="19"/>
        <v>19562.61</v>
      </c>
      <c r="CE62" s="170">
        <v>79178</v>
      </c>
      <c r="CF62" s="168">
        <v>94932.1</v>
      </c>
      <c r="CG62" s="168">
        <v>82742.73</v>
      </c>
      <c r="CH62" s="174">
        <v>54268.68</v>
      </c>
      <c r="CI62" s="168">
        <f t="shared" si="20"/>
        <v>28474.05</v>
      </c>
      <c r="CJ62" s="168"/>
      <c r="CK62" s="168"/>
      <c r="CL62" s="168"/>
      <c r="CM62" s="171"/>
      <c r="CN62" s="168">
        <f t="shared" si="21"/>
        <v>0</v>
      </c>
      <c r="CO62" s="175"/>
      <c r="CP62" s="175"/>
      <c r="CQ62" s="248"/>
      <c r="CR62" s="247"/>
      <c r="CS62" s="175">
        <f t="shared" si="22"/>
        <v>0</v>
      </c>
      <c r="CT62" s="175"/>
      <c r="CU62" s="175"/>
      <c r="CV62" s="248"/>
      <c r="CW62" s="247"/>
      <c r="CX62" s="175">
        <f t="shared" si="23"/>
        <v>0</v>
      </c>
      <c r="CY62" s="176">
        <f>SUM(CE62,CJ62,CO62,CT62)</f>
        <v>79178</v>
      </c>
      <c r="CZ62" s="176">
        <f t="shared" si="25"/>
        <v>94932.1</v>
      </c>
      <c r="DA62" s="176">
        <f t="shared" si="34"/>
        <v>82742.73</v>
      </c>
      <c r="DB62" s="176">
        <f t="shared" si="27"/>
        <v>54268.68</v>
      </c>
      <c r="DC62" s="177">
        <f t="shared" si="28"/>
        <v>28474.05</v>
      </c>
      <c r="DD62" s="178">
        <f t="shared" si="29"/>
        <v>1068591</v>
      </c>
      <c r="DE62" s="176">
        <f t="shared" si="30"/>
        <v>1073142.4088999999</v>
      </c>
      <c r="DF62" s="176">
        <f t="shared" si="31"/>
        <v>1024901.2786300423</v>
      </c>
      <c r="DG62" s="176">
        <f t="shared" si="32"/>
        <v>1001906.93</v>
      </c>
      <c r="DH62" s="177">
        <f t="shared" si="33"/>
        <v>22994.35</v>
      </c>
    </row>
    <row r="63" spans="1:112" x14ac:dyDescent="0.3">
      <c r="A63" s="97" t="s">
        <v>71</v>
      </c>
      <c r="B63" s="115">
        <v>6</v>
      </c>
      <c r="C63" s="166">
        <v>14818</v>
      </c>
      <c r="D63" s="167">
        <v>14632.24</v>
      </c>
      <c r="E63" s="168">
        <v>14632.24</v>
      </c>
      <c r="F63" s="168">
        <v>19065.12</v>
      </c>
      <c r="G63" s="169">
        <f t="shared" si="2"/>
        <v>-4432.88</v>
      </c>
      <c r="H63" s="170">
        <v>16125</v>
      </c>
      <c r="I63" s="168">
        <v>15287.78</v>
      </c>
      <c r="J63" s="168">
        <v>15287.776132499999</v>
      </c>
      <c r="K63" s="168">
        <v>20312.830000000002</v>
      </c>
      <c r="L63" s="171">
        <f t="shared" si="0"/>
        <v>-5025.05</v>
      </c>
      <c r="M63" s="168">
        <v>16125</v>
      </c>
      <c r="N63" s="168">
        <v>16125</v>
      </c>
      <c r="O63" s="168">
        <v>16125</v>
      </c>
      <c r="P63" s="168">
        <v>22539.45</v>
      </c>
      <c r="Q63" s="171">
        <f t="shared" si="3"/>
        <v>-6414.45</v>
      </c>
      <c r="R63" s="168">
        <v>16125</v>
      </c>
      <c r="S63" s="168">
        <v>35069.128480000007</v>
      </c>
      <c r="T63" s="168">
        <v>35069.128480000007</v>
      </c>
      <c r="U63" s="168">
        <v>24778.61</v>
      </c>
      <c r="V63" s="171">
        <f t="shared" si="4"/>
        <v>10290.52</v>
      </c>
      <c r="W63" s="168">
        <v>16125</v>
      </c>
      <c r="X63" s="168">
        <v>15818.62</v>
      </c>
      <c r="Y63" s="168">
        <v>15818.62</v>
      </c>
      <c r="Z63" s="168">
        <v>15818.62</v>
      </c>
      <c r="AA63" s="171">
        <f t="shared" si="5"/>
        <v>0</v>
      </c>
      <c r="AB63" s="172">
        <f t="shared" si="6"/>
        <v>64500</v>
      </c>
      <c r="AC63" s="172">
        <f t="shared" si="6"/>
        <v>82300.528480000008</v>
      </c>
      <c r="AD63" s="172">
        <f t="shared" si="6"/>
        <v>82300.524612499998</v>
      </c>
      <c r="AE63" s="172">
        <f t="shared" si="6"/>
        <v>83449.509999999995</v>
      </c>
      <c r="AF63" s="173">
        <f t="shared" si="7"/>
        <v>-1148.99</v>
      </c>
      <c r="AG63" s="170">
        <v>16125</v>
      </c>
      <c r="AH63" s="168">
        <v>21706.86</v>
      </c>
      <c r="AI63" s="168">
        <v>21706.86</v>
      </c>
      <c r="AJ63" s="168">
        <v>16125</v>
      </c>
      <c r="AK63" s="171">
        <f t="shared" si="8"/>
        <v>5581.86</v>
      </c>
      <c r="AL63" s="168">
        <v>16125</v>
      </c>
      <c r="AM63" s="168">
        <v>16125</v>
      </c>
      <c r="AN63" s="168">
        <v>16125</v>
      </c>
      <c r="AO63" s="168">
        <v>16125</v>
      </c>
      <c r="AP63" s="171">
        <f t="shared" si="9"/>
        <v>0</v>
      </c>
      <c r="AQ63" s="168">
        <v>16125</v>
      </c>
      <c r="AR63" s="168">
        <v>16125</v>
      </c>
      <c r="AS63" s="168">
        <v>15961.258429271691</v>
      </c>
      <c r="AT63" s="168">
        <v>20000.440000000002</v>
      </c>
      <c r="AU63" s="171">
        <f t="shared" si="10"/>
        <v>-4039.18</v>
      </c>
      <c r="AV63" s="168">
        <v>19925</v>
      </c>
      <c r="AW63" s="168">
        <v>19925</v>
      </c>
      <c r="AX63" s="168">
        <v>19181.98</v>
      </c>
      <c r="AY63" s="171">
        <v>19181.98</v>
      </c>
      <c r="AZ63" s="171">
        <f t="shared" si="11"/>
        <v>0</v>
      </c>
      <c r="BA63" s="172">
        <f t="shared" si="12"/>
        <v>68300</v>
      </c>
      <c r="BB63" s="172">
        <f t="shared" si="12"/>
        <v>73881.86</v>
      </c>
      <c r="BC63" s="172">
        <f t="shared" si="12"/>
        <v>72975.098429271689</v>
      </c>
      <c r="BD63" s="172">
        <f t="shared" si="12"/>
        <v>71432.42</v>
      </c>
      <c r="BE63" s="173">
        <f t="shared" si="13"/>
        <v>1542.68</v>
      </c>
      <c r="BF63" s="170">
        <v>16125</v>
      </c>
      <c r="BG63" s="168">
        <v>20164.18</v>
      </c>
      <c r="BH63" s="168">
        <v>18620.101760383463</v>
      </c>
      <c r="BI63" s="174">
        <v>14580.92</v>
      </c>
      <c r="BJ63" s="168">
        <f t="shared" si="14"/>
        <v>4039.18</v>
      </c>
      <c r="BK63" s="168">
        <v>17000</v>
      </c>
      <c r="BL63" s="168">
        <v>17000</v>
      </c>
      <c r="BM63" s="168">
        <v>15982.007305782416</v>
      </c>
      <c r="BN63" s="171">
        <v>25089.65</v>
      </c>
      <c r="BO63" s="168">
        <f t="shared" si="15"/>
        <v>-9107.64</v>
      </c>
      <c r="BP63" s="175">
        <v>20000</v>
      </c>
      <c r="BQ63" s="175">
        <v>20000</v>
      </c>
      <c r="BR63" s="248">
        <v>19320.939999999999</v>
      </c>
      <c r="BS63" s="247">
        <v>16867.14</v>
      </c>
      <c r="BT63" s="175">
        <f t="shared" si="16"/>
        <v>2453.8000000000002</v>
      </c>
      <c r="BU63" s="175">
        <v>17400</v>
      </c>
      <c r="BV63" s="175">
        <v>26507.65</v>
      </c>
      <c r="BW63" s="248">
        <v>22843.27</v>
      </c>
      <c r="BX63" s="247">
        <v>25556.9</v>
      </c>
      <c r="BY63" s="175">
        <f t="shared" si="17"/>
        <v>-2713.63</v>
      </c>
      <c r="BZ63" s="176">
        <f t="shared" si="18"/>
        <v>70525</v>
      </c>
      <c r="CA63" s="176">
        <f t="shared" si="18"/>
        <v>83671.83</v>
      </c>
      <c r="CB63" s="176">
        <f t="shared" si="18"/>
        <v>76766.319066165888</v>
      </c>
      <c r="CC63" s="176">
        <f t="shared" si="18"/>
        <v>82094.61</v>
      </c>
      <c r="CD63" s="177">
        <f t="shared" si="19"/>
        <v>-5328.29</v>
      </c>
      <c r="CE63" s="170">
        <v>18800</v>
      </c>
      <c r="CF63" s="168">
        <v>18800</v>
      </c>
      <c r="CG63" s="168">
        <v>16386.060000000001</v>
      </c>
      <c r="CH63" s="174">
        <v>21304.670000000002</v>
      </c>
      <c r="CI63" s="168">
        <f t="shared" si="20"/>
        <v>-4918.6099999999997</v>
      </c>
      <c r="CJ63" s="168"/>
      <c r="CK63" s="168"/>
      <c r="CL63" s="168"/>
      <c r="CM63" s="171"/>
      <c r="CN63" s="168">
        <f t="shared" si="21"/>
        <v>0</v>
      </c>
      <c r="CO63" s="175"/>
      <c r="CP63" s="175"/>
      <c r="CQ63" s="248"/>
      <c r="CR63" s="247"/>
      <c r="CS63" s="175">
        <f t="shared" si="22"/>
        <v>0</v>
      </c>
      <c r="CT63" s="175"/>
      <c r="CU63" s="175"/>
      <c r="CV63" s="248"/>
      <c r="CW63" s="247"/>
      <c r="CX63" s="175">
        <f t="shared" si="23"/>
        <v>0</v>
      </c>
      <c r="CY63" s="176">
        <f t="shared" si="24"/>
        <v>18800</v>
      </c>
      <c r="CZ63" s="176">
        <f t="shared" si="25"/>
        <v>18800</v>
      </c>
      <c r="DA63" s="176">
        <f t="shared" si="34"/>
        <v>16386.060000000001</v>
      </c>
      <c r="DB63" s="176">
        <f t="shared" si="27"/>
        <v>21304.670000000002</v>
      </c>
      <c r="DC63" s="177">
        <f t="shared" si="28"/>
        <v>-4918.6099999999997</v>
      </c>
      <c r="DD63" s="178">
        <f t="shared" si="29"/>
        <v>236943</v>
      </c>
      <c r="DE63" s="176">
        <f t="shared" si="30"/>
        <v>273286.45848000003</v>
      </c>
      <c r="DF63" s="176">
        <f t="shared" si="31"/>
        <v>263060.24210793758</v>
      </c>
      <c r="DG63" s="176">
        <f t="shared" si="32"/>
        <v>277346.32999999996</v>
      </c>
      <c r="DH63" s="177">
        <f t="shared" si="33"/>
        <v>-14286.09</v>
      </c>
    </row>
    <row r="64" spans="1:112" x14ac:dyDescent="0.3">
      <c r="A64" s="97" t="s">
        <v>72</v>
      </c>
      <c r="B64" s="115">
        <v>4</v>
      </c>
      <c r="C64" s="166">
        <v>8370.119999999999</v>
      </c>
      <c r="D64" s="167">
        <v>8265.19</v>
      </c>
      <c r="E64" s="168">
        <v>8265.19</v>
      </c>
      <c r="F64" s="168">
        <v>9411.83</v>
      </c>
      <c r="G64" s="169">
        <f t="shared" si="2"/>
        <v>-1146.6400000000001</v>
      </c>
      <c r="H64" s="170">
        <v>8618.880000000001</v>
      </c>
      <c r="I64" s="168">
        <v>8171.38</v>
      </c>
      <c r="J64" s="168">
        <v>8171.3803381632015</v>
      </c>
      <c r="K64" s="168">
        <v>7797.03</v>
      </c>
      <c r="L64" s="171">
        <f t="shared" si="0"/>
        <v>374.35</v>
      </c>
      <c r="M64" s="168">
        <v>9312.7899999999991</v>
      </c>
      <c r="N64" s="168">
        <v>9312.7899999999991</v>
      </c>
      <c r="O64" s="168">
        <v>9312.7899999999991</v>
      </c>
      <c r="P64" s="168">
        <v>8017.1900000000005</v>
      </c>
      <c r="Q64" s="171">
        <f t="shared" si="3"/>
        <v>1295.5999999999999</v>
      </c>
      <c r="R64" s="168">
        <v>9312.7900000000009</v>
      </c>
      <c r="S64" s="168">
        <v>9615.6911199999995</v>
      </c>
      <c r="T64" s="168">
        <v>9615.6911200000013</v>
      </c>
      <c r="U64" s="168">
        <v>3084.8</v>
      </c>
      <c r="V64" s="171">
        <f t="shared" si="4"/>
        <v>6530.89</v>
      </c>
      <c r="W64" s="168">
        <v>7867.28</v>
      </c>
      <c r="X64" s="168">
        <v>7717.8</v>
      </c>
      <c r="Y64" s="168">
        <v>7717.8</v>
      </c>
      <c r="Z64" s="168">
        <v>5681.82</v>
      </c>
      <c r="AA64" s="171">
        <f t="shared" si="5"/>
        <v>2035.98</v>
      </c>
      <c r="AB64" s="172">
        <f t="shared" si="6"/>
        <v>35111.74</v>
      </c>
      <c r="AC64" s="172">
        <f t="shared" si="6"/>
        <v>34817.661119999997</v>
      </c>
      <c r="AD64" s="172">
        <f t="shared" si="6"/>
        <v>34817.661458163202</v>
      </c>
      <c r="AE64" s="172">
        <f t="shared" si="6"/>
        <v>24580.84</v>
      </c>
      <c r="AF64" s="173">
        <f t="shared" si="7"/>
        <v>10236.82</v>
      </c>
      <c r="AG64" s="170">
        <v>8403</v>
      </c>
      <c r="AH64" s="168">
        <v>1348.8000000000002</v>
      </c>
      <c r="AI64" s="168">
        <v>1348.8000000000002</v>
      </c>
      <c r="AJ64" s="168">
        <v>7566.59</v>
      </c>
      <c r="AK64" s="171">
        <f t="shared" si="8"/>
        <v>-6217.79</v>
      </c>
      <c r="AL64" s="168">
        <v>7940</v>
      </c>
      <c r="AM64" s="168">
        <v>3769.53</v>
      </c>
      <c r="AN64" s="168">
        <v>3769.5299999999997</v>
      </c>
      <c r="AO64" s="168">
        <v>5066.18</v>
      </c>
      <c r="AP64" s="171">
        <f t="shared" si="9"/>
        <v>-1296.6500000000001</v>
      </c>
      <c r="AQ64" s="168">
        <v>5262</v>
      </c>
      <c r="AR64" s="168">
        <v>3686.26</v>
      </c>
      <c r="AS64" s="168">
        <v>3648.8278137976477</v>
      </c>
      <c r="AT64" s="168">
        <v>7895.79</v>
      </c>
      <c r="AU64" s="171">
        <f t="shared" si="10"/>
        <v>-4246.96</v>
      </c>
      <c r="AV64" s="168">
        <v>5746</v>
      </c>
      <c r="AW64" s="168">
        <v>8367.23</v>
      </c>
      <c r="AX64" s="168">
        <v>8055.2099999999991</v>
      </c>
      <c r="AY64" s="171">
        <v>7091.83</v>
      </c>
      <c r="AZ64" s="171">
        <f t="shared" si="11"/>
        <v>963.38</v>
      </c>
      <c r="BA64" s="172">
        <f t="shared" si="12"/>
        <v>27351</v>
      </c>
      <c r="BB64" s="172">
        <f t="shared" si="12"/>
        <v>17171.82</v>
      </c>
      <c r="BC64" s="172">
        <f t="shared" si="12"/>
        <v>16822.367813797646</v>
      </c>
      <c r="BD64" s="172">
        <f t="shared" si="12"/>
        <v>27620.39</v>
      </c>
      <c r="BE64" s="173">
        <f t="shared" si="13"/>
        <v>-10798.02</v>
      </c>
      <c r="BF64" s="170">
        <v>6045</v>
      </c>
      <c r="BG64" s="168">
        <v>7755.85</v>
      </c>
      <c r="BH64" s="168">
        <v>7161.9434183919257</v>
      </c>
      <c r="BI64" s="174">
        <v>6842.59</v>
      </c>
      <c r="BJ64" s="168">
        <f t="shared" si="14"/>
        <v>319.35000000000002</v>
      </c>
      <c r="BK64" s="168">
        <v>5963</v>
      </c>
      <c r="BL64" s="168">
        <v>4062.4700000000003</v>
      </c>
      <c r="BM64" s="168">
        <v>3819.2014835012878</v>
      </c>
      <c r="BN64" s="171">
        <v>6593.6200000000008</v>
      </c>
      <c r="BO64" s="168">
        <f t="shared" si="15"/>
        <v>-2774.42</v>
      </c>
      <c r="BP64" s="175">
        <v>5963</v>
      </c>
      <c r="BQ64" s="175">
        <v>6405.27</v>
      </c>
      <c r="BR64" s="248">
        <v>6187.79</v>
      </c>
      <c r="BS64" s="247">
        <v>7685.3700000000008</v>
      </c>
      <c r="BT64" s="175">
        <f t="shared" si="16"/>
        <v>-1497.58</v>
      </c>
      <c r="BU64" s="175">
        <v>5920</v>
      </c>
      <c r="BV64" s="175">
        <v>8190.6399999999994</v>
      </c>
      <c r="BW64" s="248">
        <v>7058.38</v>
      </c>
      <c r="BX64" s="247">
        <v>7829.37</v>
      </c>
      <c r="BY64" s="175">
        <f t="shared" si="17"/>
        <v>-770.99</v>
      </c>
      <c r="BZ64" s="176">
        <f t="shared" si="18"/>
        <v>23891</v>
      </c>
      <c r="CA64" s="176">
        <f t="shared" si="18"/>
        <v>26414.23</v>
      </c>
      <c r="CB64" s="176">
        <f t="shared" si="18"/>
        <v>24227.314901893216</v>
      </c>
      <c r="CC64" s="176">
        <f t="shared" si="18"/>
        <v>28950.95</v>
      </c>
      <c r="CD64" s="177">
        <f t="shared" si="19"/>
        <v>-4723.6400000000003</v>
      </c>
      <c r="CE64" s="170">
        <v>5737</v>
      </c>
      <c r="CF64" s="168">
        <v>5639.17</v>
      </c>
      <c r="CG64" s="168">
        <v>4915.1000000000004</v>
      </c>
      <c r="CH64" s="174">
        <v>5914.4699999999993</v>
      </c>
      <c r="CI64" s="168">
        <f t="shared" si="20"/>
        <v>-999.37</v>
      </c>
      <c r="CJ64" s="168"/>
      <c r="CK64" s="168"/>
      <c r="CL64" s="168"/>
      <c r="CM64" s="171"/>
      <c r="CN64" s="168">
        <f t="shared" si="21"/>
        <v>0</v>
      </c>
      <c r="CO64" s="175"/>
      <c r="CP64" s="175"/>
      <c r="CQ64" s="248"/>
      <c r="CR64" s="247"/>
      <c r="CS64" s="175">
        <f t="shared" si="22"/>
        <v>0</v>
      </c>
      <c r="CT64" s="175"/>
      <c r="CU64" s="175"/>
      <c r="CV64" s="248"/>
      <c r="CW64" s="247"/>
      <c r="CX64" s="175">
        <f t="shared" si="23"/>
        <v>0</v>
      </c>
      <c r="CY64" s="176">
        <f t="shared" si="24"/>
        <v>5737</v>
      </c>
      <c r="CZ64" s="176">
        <f t="shared" si="25"/>
        <v>5639.17</v>
      </c>
      <c r="DA64" s="176">
        <f t="shared" si="34"/>
        <v>4915.1000000000004</v>
      </c>
      <c r="DB64" s="176">
        <f t="shared" si="27"/>
        <v>5914.4699999999993</v>
      </c>
      <c r="DC64" s="177">
        <f t="shared" si="28"/>
        <v>-999.37</v>
      </c>
      <c r="DD64" s="178">
        <f t="shared" si="29"/>
        <v>100460.86</v>
      </c>
      <c r="DE64" s="176">
        <f t="shared" si="30"/>
        <v>92308.071119999993</v>
      </c>
      <c r="DF64" s="176">
        <f t="shared" si="31"/>
        <v>89047.63417385408</v>
      </c>
      <c r="DG64" s="176">
        <f t="shared" si="32"/>
        <v>96478.48</v>
      </c>
      <c r="DH64" s="177">
        <f t="shared" si="33"/>
        <v>-7430.85</v>
      </c>
    </row>
    <row r="65" spans="1:113" x14ac:dyDescent="0.3">
      <c r="A65" s="97" t="s">
        <v>73</v>
      </c>
      <c r="B65" s="115">
        <v>3</v>
      </c>
      <c r="C65" s="166">
        <v>3015</v>
      </c>
      <c r="D65" s="167">
        <v>2977.2</v>
      </c>
      <c r="E65" s="168">
        <v>2977.2</v>
      </c>
      <c r="F65" s="168">
        <v>2087.42</v>
      </c>
      <c r="G65" s="169">
        <f t="shared" si="2"/>
        <v>889.78</v>
      </c>
      <c r="H65" s="170">
        <v>3164</v>
      </c>
      <c r="I65" s="168">
        <v>2999.72</v>
      </c>
      <c r="J65" s="168">
        <v>2999.7223989600002</v>
      </c>
      <c r="K65" s="168">
        <v>1736.36</v>
      </c>
      <c r="L65" s="171">
        <f t="shared" si="0"/>
        <v>1263.3599999999999</v>
      </c>
      <c r="M65" s="168">
        <v>4098.38</v>
      </c>
      <c r="N65" s="168">
        <v>3208.6000000000004</v>
      </c>
      <c r="O65" s="168">
        <v>3208.6000000000004</v>
      </c>
      <c r="P65" s="168">
        <v>2300.38</v>
      </c>
      <c r="Q65" s="171">
        <f t="shared" si="3"/>
        <v>908.22</v>
      </c>
      <c r="R65" s="168">
        <v>3176.38</v>
      </c>
      <c r="S65" s="168">
        <v>125.90000000000009</v>
      </c>
      <c r="T65" s="168">
        <v>125.90000000000009</v>
      </c>
      <c r="U65" s="168">
        <v>4150.6900000000005</v>
      </c>
      <c r="V65" s="171">
        <f t="shared" si="4"/>
        <v>-4024.79</v>
      </c>
      <c r="W65" s="168">
        <v>2766.38</v>
      </c>
      <c r="X65" s="168">
        <v>2713.82</v>
      </c>
      <c r="Y65" s="168">
        <v>2713.82</v>
      </c>
      <c r="Z65" s="168">
        <v>2882.36</v>
      </c>
      <c r="AA65" s="171">
        <f t="shared" si="5"/>
        <v>-168.54</v>
      </c>
      <c r="AB65" s="172">
        <f t="shared" si="6"/>
        <v>13205.14</v>
      </c>
      <c r="AC65" s="172">
        <f t="shared" si="6"/>
        <v>9048.0399999999991</v>
      </c>
      <c r="AD65" s="172">
        <f t="shared" si="6"/>
        <v>9048.0423989600004</v>
      </c>
      <c r="AE65" s="172">
        <f t="shared" si="6"/>
        <v>11069.79</v>
      </c>
      <c r="AF65" s="173">
        <f t="shared" si="7"/>
        <v>-2021.75</v>
      </c>
      <c r="AG65" s="170">
        <v>2605</v>
      </c>
      <c r="AH65" s="168">
        <v>3568.43</v>
      </c>
      <c r="AI65" s="168">
        <v>3568.43</v>
      </c>
      <c r="AJ65" s="168">
        <v>2026.71</v>
      </c>
      <c r="AK65" s="171">
        <f t="shared" si="8"/>
        <v>1541.72</v>
      </c>
      <c r="AL65" s="168">
        <v>2644</v>
      </c>
      <c r="AM65" s="168">
        <v>2540.0300000000002</v>
      </c>
      <c r="AN65" s="168">
        <v>2540.0300000000002</v>
      </c>
      <c r="AO65" s="168">
        <v>3419.8599999999997</v>
      </c>
      <c r="AP65" s="171">
        <f t="shared" si="9"/>
        <v>-879.83</v>
      </c>
      <c r="AQ65" s="168">
        <v>2978</v>
      </c>
      <c r="AR65" s="168">
        <v>3448.08</v>
      </c>
      <c r="AS65" s="168">
        <v>3413.0664164218997</v>
      </c>
      <c r="AT65" s="168">
        <v>2286.69</v>
      </c>
      <c r="AU65" s="171">
        <f t="shared" si="10"/>
        <v>1126.3800000000001</v>
      </c>
      <c r="AV65" s="168">
        <v>2670</v>
      </c>
      <c r="AW65" s="168">
        <v>2114.64</v>
      </c>
      <c r="AX65" s="168">
        <v>2035.78</v>
      </c>
      <c r="AY65" s="171">
        <v>3751.1800000000003</v>
      </c>
      <c r="AZ65" s="171">
        <f t="shared" si="11"/>
        <v>-1715.4</v>
      </c>
      <c r="BA65" s="172">
        <f t="shared" si="12"/>
        <v>10897</v>
      </c>
      <c r="BB65" s="172">
        <f t="shared" si="12"/>
        <v>11671.18</v>
      </c>
      <c r="BC65" s="172">
        <f t="shared" si="12"/>
        <v>11557.306416421901</v>
      </c>
      <c r="BD65" s="172">
        <f t="shared" si="12"/>
        <v>11484.44</v>
      </c>
      <c r="BE65" s="173">
        <f t="shared" si="13"/>
        <v>72.87</v>
      </c>
      <c r="BF65" s="170">
        <v>3418</v>
      </c>
      <c r="BG65" s="168">
        <v>2848.65</v>
      </c>
      <c r="BH65" s="168">
        <v>2630.5137565582313</v>
      </c>
      <c r="BI65" s="174">
        <v>3455.66</v>
      </c>
      <c r="BJ65" s="168">
        <f t="shared" si="14"/>
        <v>-825.15</v>
      </c>
      <c r="BK65" s="168">
        <v>3599</v>
      </c>
      <c r="BL65" s="168">
        <v>5520.12</v>
      </c>
      <c r="BM65" s="168">
        <v>5189.5645981644484</v>
      </c>
      <c r="BN65" s="171">
        <v>3688.38</v>
      </c>
      <c r="BO65" s="168">
        <f t="shared" si="15"/>
        <v>1501.18</v>
      </c>
      <c r="BP65" s="175">
        <v>3344</v>
      </c>
      <c r="BQ65" s="175">
        <v>2082.2799999999997</v>
      </c>
      <c r="BR65" s="248">
        <v>2011.58</v>
      </c>
      <c r="BS65" s="247">
        <v>4037.85</v>
      </c>
      <c r="BT65" s="175">
        <f t="shared" si="16"/>
        <v>-2026.27</v>
      </c>
      <c r="BU65" s="175">
        <v>3804</v>
      </c>
      <c r="BV65" s="175">
        <v>5534.35</v>
      </c>
      <c r="BW65" s="248">
        <v>4769.29</v>
      </c>
      <c r="BX65" s="247">
        <v>2311.88</v>
      </c>
      <c r="BY65" s="175">
        <f t="shared" si="17"/>
        <v>2457.41</v>
      </c>
      <c r="BZ65" s="176">
        <f t="shared" si="18"/>
        <v>14165</v>
      </c>
      <c r="CA65" s="176">
        <f t="shared" si="18"/>
        <v>15985.4</v>
      </c>
      <c r="CB65" s="176">
        <f t="shared" si="18"/>
        <v>14600.948354722681</v>
      </c>
      <c r="CC65" s="176">
        <f t="shared" si="18"/>
        <v>13493.77</v>
      </c>
      <c r="CD65" s="177">
        <f t="shared" si="19"/>
        <v>1107.18</v>
      </c>
      <c r="CE65" s="170">
        <v>3804</v>
      </c>
      <c r="CF65" s="168">
        <v>7418.59</v>
      </c>
      <c r="CG65" s="168">
        <v>6466.04</v>
      </c>
      <c r="CH65" s="174">
        <v>3293.29</v>
      </c>
      <c r="CI65" s="168">
        <f t="shared" si="20"/>
        <v>3172.75</v>
      </c>
      <c r="CJ65" s="168"/>
      <c r="CK65" s="168"/>
      <c r="CL65" s="168"/>
      <c r="CM65" s="171"/>
      <c r="CN65" s="168">
        <f t="shared" si="21"/>
        <v>0</v>
      </c>
      <c r="CO65" s="175"/>
      <c r="CP65" s="175"/>
      <c r="CQ65" s="248"/>
      <c r="CR65" s="247"/>
      <c r="CS65" s="175">
        <f t="shared" si="22"/>
        <v>0</v>
      </c>
      <c r="CT65" s="175"/>
      <c r="CU65" s="175"/>
      <c r="CV65" s="248"/>
      <c r="CW65" s="247"/>
      <c r="CX65" s="175">
        <f t="shared" si="23"/>
        <v>0</v>
      </c>
      <c r="CY65" s="176">
        <f t="shared" si="24"/>
        <v>3804</v>
      </c>
      <c r="CZ65" s="176">
        <f t="shared" si="25"/>
        <v>7418.59</v>
      </c>
      <c r="DA65" s="176">
        <f t="shared" si="34"/>
        <v>6466.04</v>
      </c>
      <c r="DB65" s="176">
        <f t="shared" si="27"/>
        <v>3293.29</v>
      </c>
      <c r="DC65" s="177">
        <f t="shared" si="28"/>
        <v>3172.75</v>
      </c>
      <c r="DD65" s="178">
        <f t="shared" si="29"/>
        <v>45086.14</v>
      </c>
      <c r="DE65" s="176">
        <f t="shared" si="30"/>
        <v>47100.41</v>
      </c>
      <c r="DF65" s="176">
        <f t="shared" si="31"/>
        <v>44649.537170104588</v>
      </c>
      <c r="DG65" s="176">
        <f t="shared" si="32"/>
        <v>41428.71</v>
      </c>
      <c r="DH65" s="177">
        <f t="shared" si="33"/>
        <v>3220.83</v>
      </c>
    </row>
    <row r="66" spans="1:113" x14ac:dyDescent="0.3">
      <c r="A66" s="97" t="s">
        <v>74</v>
      </c>
      <c r="B66" s="115">
        <v>2</v>
      </c>
      <c r="C66" s="166">
        <v>1996</v>
      </c>
      <c r="D66" s="167">
        <v>1970.98</v>
      </c>
      <c r="E66" s="168">
        <v>1970.98</v>
      </c>
      <c r="F66" s="168">
        <v>3415.92</v>
      </c>
      <c r="G66" s="169">
        <f t="shared" si="2"/>
        <v>-1444.94</v>
      </c>
      <c r="H66" s="170">
        <v>1996</v>
      </c>
      <c r="I66" s="168">
        <v>1892.37</v>
      </c>
      <c r="J66" s="168">
        <v>1892.3659634400001</v>
      </c>
      <c r="K66" s="168">
        <v>1693.97</v>
      </c>
      <c r="L66" s="171">
        <f t="shared" si="0"/>
        <v>198.4</v>
      </c>
      <c r="M66" s="168">
        <v>4402</v>
      </c>
      <c r="N66" s="168">
        <v>4402</v>
      </c>
      <c r="O66" s="168">
        <v>4402</v>
      </c>
      <c r="P66" s="168">
        <v>2049.06</v>
      </c>
      <c r="Q66" s="171">
        <f t="shared" si="3"/>
        <v>2352.94</v>
      </c>
      <c r="R66" s="168">
        <v>4402</v>
      </c>
      <c r="S66" s="168">
        <v>3605.3864000000003</v>
      </c>
      <c r="T66" s="168">
        <v>3605.3864000000003</v>
      </c>
      <c r="U66" s="168">
        <v>2236.83</v>
      </c>
      <c r="V66" s="171">
        <f t="shared" si="4"/>
        <v>1368.56</v>
      </c>
      <c r="W66" s="168">
        <v>4402</v>
      </c>
      <c r="X66" s="168">
        <v>4318.3599999999997</v>
      </c>
      <c r="Y66" s="168">
        <v>4318.3599999999997</v>
      </c>
      <c r="Z66" s="168">
        <v>0</v>
      </c>
      <c r="AA66" s="171">
        <f t="shared" si="5"/>
        <v>4318.3599999999997</v>
      </c>
      <c r="AB66" s="172">
        <f t="shared" si="6"/>
        <v>15202</v>
      </c>
      <c r="AC66" s="172">
        <f t="shared" si="6"/>
        <v>14218.116399999999</v>
      </c>
      <c r="AD66" s="172">
        <f t="shared" si="6"/>
        <v>14218.112363439999</v>
      </c>
      <c r="AE66" s="172">
        <f t="shared" si="6"/>
        <v>5979.86</v>
      </c>
      <c r="AF66" s="173">
        <f t="shared" si="7"/>
        <v>8238.25</v>
      </c>
      <c r="AG66" s="170">
        <v>3065</v>
      </c>
      <c r="AH66" s="168">
        <v>590.04</v>
      </c>
      <c r="AI66" s="168">
        <v>590.04</v>
      </c>
      <c r="AJ66" s="168">
        <v>0</v>
      </c>
      <c r="AK66" s="171">
        <f t="shared" si="8"/>
        <v>590.04</v>
      </c>
      <c r="AL66" s="168">
        <v>3065</v>
      </c>
      <c r="AM66" s="168">
        <v>490.78</v>
      </c>
      <c r="AN66" s="168">
        <v>490.7800000000002</v>
      </c>
      <c r="AO66" s="168">
        <v>1731</v>
      </c>
      <c r="AP66" s="171">
        <f t="shared" si="9"/>
        <v>-1240.22</v>
      </c>
      <c r="AQ66" s="168">
        <v>1799.73</v>
      </c>
      <c r="AR66" s="168">
        <v>1799.7275</v>
      </c>
      <c r="AS66" s="168">
        <v>1781.4546382801284</v>
      </c>
      <c r="AT66" s="168">
        <v>4865.2000000000007</v>
      </c>
      <c r="AU66" s="171">
        <f t="shared" si="10"/>
        <v>-3083.75</v>
      </c>
      <c r="AV66" s="168">
        <v>0</v>
      </c>
      <c r="AW66" s="168">
        <v>0</v>
      </c>
      <c r="AX66" s="168">
        <v>0</v>
      </c>
      <c r="AY66" s="171">
        <v>0</v>
      </c>
      <c r="AZ66" s="171">
        <f t="shared" si="11"/>
        <v>0</v>
      </c>
      <c r="BA66" s="172">
        <f t="shared" si="12"/>
        <v>7929.73</v>
      </c>
      <c r="BB66" s="172">
        <f t="shared" si="12"/>
        <v>2880.5474999999997</v>
      </c>
      <c r="BC66" s="172">
        <f t="shared" si="12"/>
        <v>2862.2746382801288</v>
      </c>
      <c r="BD66" s="172">
        <f t="shared" si="12"/>
        <v>6596.2000000000007</v>
      </c>
      <c r="BE66" s="173">
        <f t="shared" si="13"/>
        <v>-3733.93</v>
      </c>
      <c r="BF66" s="170">
        <v>3130</v>
      </c>
      <c r="BG66" s="168">
        <v>10213.75</v>
      </c>
      <c r="BH66" s="168">
        <v>9431.6289754959835</v>
      </c>
      <c r="BI66" s="174">
        <v>5172.1900000000005</v>
      </c>
      <c r="BJ66" s="168">
        <f t="shared" si="14"/>
        <v>4259.4399999999996</v>
      </c>
      <c r="BK66" s="168">
        <v>2260</v>
      </c>
      <c r="BL66" s="168">
        <v>0</v>
      </c>
      <c r="BM66" s="168">
        <v>0</v>
      </c>
      <c r="BN66" s="171">
        <v>2051.9899999999998</v>
      </c>
      <c r="BO66" s="168">
        <f t="shared" si="15"/>
        <v>-2051.9899999999998</v>
      </c>
      <c r="BP66" s="175">
        <v>1960</v>
      </c>
      <c r="BQ66" s="175">
        <v>0</v>
      </c>
      <c r="BR66" s="248">
        <v>0</v>
      </c>
      <c r="BS66" s="247">
        <v>2116.21</v>
      </c>
      <c r="BT66" s="175">
        <f t="shared" si="16"/>
        <v>-2116.21</v>
      </c>
      <c r="BU66" s="175">
        <v>1502</v>
      </c>
      <c r="BV66" s="175">
        <v>4571.1900000000005</v>
      </c>
      <c r="BW66" s="248">
        <v>3939.27</v>
      </c>
      <c r="BX66" s="247">
        <v>1270.42</v>
      </c>
      <c r="BY66" s="175">
        <f t="shared" si="17"/>
        <v>2668.85</v>
      </c>
      <c r="BZ66" s="176">
        <f t="shared" si="18"/>
        <v>8852</v>
      </c>
      <c r="CA66" s="176">
        <f t="shared" si="18"/>
        <v>14784.94</v>
      </c>
      <c r="CB66" s="176">
        <f t="shared" si="18"/>
        <v>13370.898975495984</v>
      </c>
      <c r="CC66" s="176">
        <f t="shared" si="18"/>
        <v>10610.81</v>
      </c>
      <c r="CD66" s="177">
        <f t="shared" si="19"/>
        <v>2760.09</v>
      </c>
      <c r="CE66" s="170">
        <v>1565</v>
      </c>
      <c r="CF66" s="168">
        <v>0</v>
      </c>
      <c r="CG66" s="168">
        <v>0</v>
      </c>
      <c r="CH66" s="174">
        <v>3461.29</v>
      </c>
      <c r="CI66" s="168">
        <f t="shared" si="20"/>
        <v>-3461.29</v>
      </c>
      <c r="CJ66" s="168"/>
      <c r="CK66" s="168"/>
      <c r="CL66" s="168"/>
      <c r="CM66" s="171"/>
      <c r="CN66" s="168">
        <f t="shared" si="21"/>
        <v>0</v>
      </c>
      <c r="CO66" s="175"/>
      <c r="CP66" s="175"/>
      <c r="CQ66" s="248"/>
      <c r="CR66" s="247"/>
      <c r="CS66" s="175">
        <f t="shared" si="22"/>
        <v>0</v>
      </c>
      <c r="CT66" s="175"/>
      <c r="CU66" s="175"/>
      <c r="CV66" s="248"/>
      <c r="CW66" s="247"/>
      <c r="CX66" s="175">
        <f t="shared" si="23"/>
        <v>0</v>
      </c>
      <c r="CY66" s="176">
        <f t="shared" si="24"/>
        <v>1565</v>
      </c>
      <c r="CZ66" s="176">
        <f>SUM(CF66,CK66,CP66,CU66)</f>
        <v>0</v>
      </c>
      <c r="DA66" s="176">
        <f t="shared" si="34"/>
        <v>0</v>
      </c>
      <c r="DB66" s="176">
        <f t="shared" si="27"/>
        <v>3461.29</v>
      </c>
      <c r="DC66" s="177">
        <f t="shared" si="28"/>
        <v>-3461.29</v>
      </c>
      <c r="DD66" s="178">
        <f t="shared" si="29"/>
        <v>35544.729999999996</v>
      </c>
      <c r="DE66" s="176">
        <f t="shared" si="30"/>
        <v>33854.583899999998</v>
      </c>
      <c r="DF66" s="176">
        <f t="shared" si="31"/>
        <v>32422.265977216113</v>
      </c>
      <c r="DG66" s="176">
        <f t="shared" si="32"/>
        <v>30064.080000000002</v>
      </c>
      <c r="DH66" s="177">
        <f t="shared" si="33"/>
        <v>2358.19</v>
      </c>
    </row>
    <row r="67" spans="1:113" x14ac:dyDescent="0.3">
      <c r="A67" s="97" t="s">
        <v>75</v>
      </c>
      <c r="B67" s="115">
        <v>10</v>
      </c>
      <c r="C67" s="166">
        <v>71292.540000000008</v>
      </c>
      <c r="D67" s="167">
        <v>70398.83</v>
      </c>
      <c r="E67" s="168">
        <v>70398.83</v>
      </c>
      <c r="F67" s="168">
        <v>75523.149999999994</v>
      </c>
      <c r="G67" s="169">
        <f>ROUND((E67-F67),2)</f>
        <v>-5124.32</v>
      </c>
      <c r="H67" s="170">
        <v>63936</v>
      </c>
      <c r="I67" s="168">
        <v>60616.39</v>
      </c>
      <c r="J67" s="168">
        <v>60616.387895040003</v>
      </c>
      <c r="K67" s="168">
        <v>60632</v>
      </c>
      <c r="L67" s="171">
        <f t="shared" si="0"/>
        <v>-15.61</v>
      </c>
      <c r="M67" s="168">
        <v>64637.64</v>
      </c>
      <c r="N67" s="168">
        <v>64637.64</v>
      </c>
      <c r="O67" s="168">
        <v>64637.64</v>
      </c>
      <c r="P67" s="168">
        <v>66581.039999999994</v>
      </c>
      <c r="Q67" s="171">
        <f t="shared" si="3"/>
        <v>-1943.4</v>
      </c>
      <c r="R67" s="168">
        <v>73026.540000000008</v>
      </c>
      <c r="S67" s="168">
        <v>87800.417520000017</v>
      </c>
      <c r="T67" s="168">
        <v>87800.417520000017</v>
      </c>
      <c r="U67" s="168">
        <v>70266.11</v>
      </c>
      <c r="V67" s="171">
        <f t="shared" si="4"/>
        <v>17534.310000000001</v>
      </c>
      <c r="W67" s="168">
        <v>75621.81</v>
      </c>
      <c r="X67" s="168">
        <v>74185</v>
      </c>
      <c r="Y67" s="168">
        <v>74185</v>
      </c>
      <c r="Z67" s="168">
        <v>61745.14</v>
      </c>
      <c r="AA67" s="171">
        <f t="shared" si="5"/>
        <v>12439.86</v>
      </c>
      <c r="AB67" s="172">
        <f t="shared" si="6"/>
        <v>277221.99</v>
      </c>
      <c r="AC67" s="172">
        <f t="shared" si="6"/>
        <v>287239.44752000005</v>
      </c>
      <c r="AD67" s="172">
        <f t="shared" si="6"/>
        <v>287239.44541504001</v>
      </c>
      <c r="AE67" s="172">
        <f t="shared" si="6"/>
        <v>259224.28999999998</v>
      </c>
      <c r="AF67" s="173">
        <f t="shared" si="7"/>
        <v>28015.16</v>
      </c>
      <c r="AG67" s="170">
        <v>68800</v>
      </c>
      <c r="AH67" s="168">
        <v>58349.020000000004</v>
      </c>
      <c r="AI67" s="168">
        <v>58349.020000000004</v>
      </c>
      <c r="AJ67" s="168">
        <v>62665.89</v>
      </c>
      <c r="AK67" s="171">
        <f t="shared" si="8"/>
        <v>-4316.87</v>
      </c>
      <c r="AL67" s="168">
        <v>65250</v>
      </c>
      <c r="AM67" s="168">
        <v>52810.14</v>
      </c>
      <c r="AN67" s="168">
        <v>52810.14</v>
      </c>
      <c r="AO67" s="168">
        <v>77405.13</v>
      </c>
      <c r="AP67" s="171">
        <f t="shared" si="9"/>
        <v>-24594.99</v>
      </c>
      <c r="AQ67" s="168">
        <v>85100</v>
      </c>
      <c r="AR67" s="168">
        <v>89636.02</v>
      </c>
      <c r="AS67" s="168">
        <v>88725.809599464556</v>
      </c>
      <c r="AT67" s="168">
        <v>74453.81</v>
      </c>
      <c r="AU67" s="171">
        <f t="shared" si="10"/>
        <v>14272</v>
      </c>
      <c r="AV67" s="168">
        <v>85425</v>
      </c>
      <c r="AW67" s="168">
        <v>84604.74</v>
      </c>
      <c r="AX67" s="168">
        <v>81449.78</v>
      </c>
      <c r="AY67" s="171">
        <v>73293.820000000007</v>
      </c>
      <c r="AZ67" s="171">
        <f t="shared" si="11"/>
        <v>8155.96</v>
      </c>
      <c r="BA67" s="172">
        <f t="shared" si="12"/>
        <v>304575</v>
      </c>
      <c r="BB67" s="172">
        <f t="shared" si="12"/>
        <v>285399.92</v>
      </c>
      <c r="BC67" s="172">
        <f t="shared" si="12"/>
        <v>281334.74959946459</v>
      </c>
      <c r="BD67" s="172">
        <f t="shared" si="12"/>
        <v>287818.65000000002</v>
      </c>
      <c r="BE67" s="173">
        <f t="shared" si="13"/>
        <v>-6483.9</v>
      </c>
      <c r="BF67" s="170">
        <v>64700</v>
      </c>
      <c r="BG67" s="168">
        <v>70852.710000000006</v>
      </c>
      <c r="BH67" s="168">
        <v>65427.142100444413</v>
      </c>
      <c r="BI67" s="174">
        <v>64817.030000000006</v>
      </c>
      <c r="BJ67" s="168">
        <f t="shared" si="14"/>
        <v>610.11</v>
      </c>
      <c r="BK67" s="168">
        <v>62850</v>
      </c>
      <c r="BL67" s="168">
        <v>58054.42</v>
      </c>
      <c r="BM67" s="168">
        <v>54578.0096807624</v>
      </c>
      <c r="BN67" s="171">
        <v>72526.740000000005</v>
      </c>
      <c r="BO67" s="168">
        <f t="shared" si="15"/>
        <v>-17948.73</v>
      </c>
      <c r="BP67" s="175">
        <v>76725</v>
      </c>
      <c r="BQ67" s="175">
        <v>89247.2</v>
      </c>
      <c r="BR67" s="248">
        <v>86216.99</v>
      </c>
      <c r="BS67" s="247">
        <v>72351.819999999992</v>
      </c>
      <c r="BT67" s="175">
        <f t="shared" si="16"/>
        <v>13865.17</v>
      </c>
      <c r="BU67" s="175">
        <v>65950</v>
      </c>
      <c r="BV67" s="175">
        <v>60400.74</v>
      </c>
      <c r="BW67" s="248">
        <v>52051.02</v>
      </c>
      <c r="BX67" s="247">
        <v>85696.75</v>
      </c>
      <c r="BY67" s="175">
        <f t="shared" si="17"/>
        <v>-33645.730000000003</v>
      </c>
      <c r="BZ67" s="176">
        <f t="shared" si="18"/>
        <v>270225</v>
      </c>
      <c r="CA67" s="176">
        <f t="shared" si="18"/>
        <v>278555.07</v>
      </c>
      <c r="CB67" s="176">
        <f t="shared" si="18"/>
        <v>258273.16178120681</v>
      </c>
      <c r="CC67" s="176">
        <f t="shared" si="18"/>
        <v>295392.34000000003</v>
      </c>
      <c r="CD67" s="177">
        <f t="shared" si="19"/>
        <v>-37119.18</v>
      </c>
      <c r="CE67" s="170">
        <v>76645</v>
      </c>
      <c r="CF67" s="168">
        <v>80070.37</v>
      </c>
      <c r="CG67" s="168">
        <v>69789.259999999995</v>
      </c>
      <c r="CH67" s="174">
        <v>71167.100000000006</v>
      </c>
      <c r="CI67" s="168">
        <f t="shared" si="20"/>
        <v>-1377.84</v>
      </c>
      <c r="CJ67" s="168"/>
      <c r="CK67" s="168"/>
      <c r="CL67" s="168"/>
      <c r="CM67" s="171"/>
      <c r="CN67" s="168">
        <f t="shared" si="21"/>
        <v>0</v>
      </c>
      <c r="CO67" s="175"/>
      <c r="CP67" s="175"/>
      <c r="CQ67" s="248"/>
      <c r="CR67" s="247"/>
      <c r="CS67" s="175">
        <f t="shared" si="22"/>
        <v>0</v>
      </c>
      <c r="CT67" s="175"/>
      <c r="CU67" s="175"/>
      <c r="CV67" s="248"/>
      <c r="CW67" s="247"/>
      <c r="CX67" s="175">
        <f t="shared" si="23"/>
        <v>0</v>
      </c>
      <c r="CY67" s="176">
        <f t="shared" si="24"/>
        <v>76645</v>
      </c>
      <c r="CZ67" s="176">
        <f t="shared" si="25"/>
        <v>80070.37</v>
      </c>
      <c r="DA67" s="176">
        <f>SUM(CG67,CL67,CQ67,CV67)</f>
        <v>69789.259999999995</v>
      </c>
      <c r="DB67" s="176">
        <f t="shared" si="27"/>
        <v>71167.100000000006</v>
      </c>
      <c r="DC67" s="177">
        <f t="shared" si="28"/>
        <v>-1377.84</v>
      </c>
      <c r="DD67" s="178">
        <f t="shared" si="29"/>
        <v>999959.53</v>
      </c>
      <c r="DE67" s="176">
        <f t="shared" si="30"/>
        <v>1001663.63752</v>
      </c>
      <c r="DF67" s="176">
        <f t="shared" si="31"/>
        <v>967035.44679571141</v>
      </c>
      <c r="DG67" s="176">
        <f t="shared" si="32"/>
        <v>989125.52999999991</v>
      </c>
      <c r="DH67" s="177">
        <f t="shared" si="33"/>
        <v>-22090.080000000002</v>
      </c>
    </row>
    <row r="68" spans="1:113" x14ac:dyDescent="0.3">
      <c r="A68" s="97" t="s">
        <v>76</v>
      </c>
      <c r="B68" s="115">
        <v>3</v>
      </c>
      <c r="C68" s="166">
        <v>8635</v>
      </c>
      <c r="D68" s="167">
        <v>8526.75</v>
      </c>
      <c r="E68" s="168">
        <v>8526.75</v>
      </c>
      <c r="F68" s="168">
        <v>8000.41</v>
      </c>
      <c r="G68" s="169">
        <f>ROUND((E68-F68),2)</f>
        <v>526.34</v>
      </c>
      <c r="H68" s="170">
        <v>8635</v>
      </c>
      <c r="I68" s="168">
        <v>8186.66</v>
      </c>
      <c r="J68" s="168">
        <v>8186.6633738999999</v>
      </c>
      <c r="K68" s="168">
        <v>7829.73</v>
      </c>
      <c r="L68" s="171">
        <f>ROUND((J68-K68),2)</f>
        <v>356.93</v>
      </c>
      <c r="M68" s="168">
        <v>8108.66</v>
      </c>
      <c r="N68" s="168">
        <v>7572.47</v>
      </c>
      <c r="O68" s="168">
        <v>7572.47</v>
      </c>
      <c r="P68" s="168">
        <v>7995.27</v>
      </c>
      <c r="Q68" s="171">
        <f t="shared" si="3"/>
        <v>-422.8</v>
      </c>
      <c r="R68" s="168">
        <v>6670</v>
      </c>
      <c r="S68" s="168">
        <v>3658.2375400000001</v>
      </c>
      <c r="T68" s="168">
        <v>3658.2375400000001</v>
      </c>
      <c r="U68" s="168">
        <v>9337.5400000000009</v>
      </c>
      <c r="V68" s="171">
        <f t="shared" si="4"/>
        <v>-5679.3</v>
      </c>
      <c r="W68" s="168">
        <v>8010</v>
      </c>
      <c r="X68" s="168">
        <v>7857.81</v>
      </c>
      <c r="Y68" s="168">
        <v>7857.81</v>
      </c>
      <c r="Z68" s="168">
        <v>7746.48</v>
      </c>
      <c r="AA68" s="171">
        <f t="shared" si="5"/>
        <v>111.33</v>
      </c>
      <c r="AB68" s="172">
        <f t="shared" si="6"/>
        <v>31423.66</v>
      </c>
      <c r="AC68" s="172">
        <f t="shared" si="6"/>
        <v>27275.177540000001</v>
      </c>
      <c r="AD68" s="172">
        <f t="shared" si="6"/>
        <v>27275.1809139</v>
      </c>
      <c r="AE68" s="172">
        <f>SUM(K68,P68,U68,Z68)</f>
        <v>32909.020000000004</v>
      </c>
      <c r="AF68" s="173">
        <f t="shared" si="7"/>
        <v>-5633.84</v>
      </c>
      <c r="AG68" s="170">
        <v>8415</v>
      </c>
      <c r="AH68" s="168">
        <v>13633.83</v>
      </c>
      <c r="AI68" s="168">
        <v>13633.83</v>
      </c>
      <c r="AJ68" s="168">
        <v>7992.43</v>
      </c>
      <c r="AK68" s="171">
        <f t="shared" si="8"/>
        <v>5641.4</v>
      </c>
      <c r="AL68" s="168">
        <v>8415</v>
      </c>
      <c r="AM68" s="168">
        <v>8303.67</v>
      </c>
      <c r="AN68" s="168">
        <v>8303.67</v>
      </c>
      <c r="AO68" s="168">
        <v>9569.23</v>
      </c>
      <c r="AP68" s="171">
        <f t="shared" si="9"/>
        <v>-1265.56</v>
      </c>
      <c r="AQ68" s="168">
        <v>9709</v>
      </c>
      <c r="AR68" s="168">
        <v>10440.66</v>
      </c>
      <c r="AS68" s="168">
        <v>10334.640150831614</v>
      </c>
      <c r="AT68" s="168">
        <v>8860.3700000000008</v>
      </c>
      <c r="AU68" s="171">
        <f t="shared" si="10"/>
        <v>1474.27</v>
      </c>
      <c r="AV68" s="168">
        <v>8710</v>
      </c>
      <c r="AW68" s="168">
        <v>8102.54</v>
      </c>
      <c r="AX68" s="168">
        <v>7800.39</v>
      </c>
      <c r="AY68" s="171">
        <v>10255.929999999998</v>
      </c>
      <c r="AZ68" s="171">
        <f t="shared" si="11"/>
        <v>-2455.54</v>
      </c>
      <c r="BA68" s="172">
        <f t="shared" si="12"/>
        <v>35249</v>
      </c>
      <c r="BB68" s="172">
        <f t="shared" si="12"/>
        <v>40480.699999999997</v>
      </c>
      <c r="BC68" s="172">
        <f t="shared" si="12"/>
        <v>40072.530150831612</v>
      </c>
      <c r="BD68" s="172">
        <f>SUM(AJ68,AO68,AT68,AY68)</f>
        <v>36677.96</v>
      </c>
      <c r="BE68" s="173">
        <f t="shared" si="13"/>
        <v>3394.57</v>
      </c>
      <c r="BF68" s="170">
        <v>8810</v>
      </c>
      <c r="BG68" s="168">
        <v>8556.91</v>
      </c>
      <c r="BH68" s="168">
        <v>7901.6620043286093</v>
      </c>
      <c r="BI68" s="174">
        <v>9121.52</v>
      </c>
      <c r="BJ68" s="168">
        <f t="shared" si="14"/>
        <v>-1219.8599999999999</v>
      </c>
      <c r="BK68" s="168">
        <v>9003</v>
      </c>
      <c r="BL68" s="168">
        <v>12672.35</v>
      </c>
      <c r="BM68" s="168">
        <v>11913.505310672459</v>
      </c>
      <c r="BN68" s="171">
        <v>9863.48</v>
      </c>
      <c r="BO68" s="168">
        <f t="shared" si="15"/>
        <v>2050.0300000000002</v>
      </c>
      <c r="BP68" s="175">
        <v>9803</v>
      </c>
      <c r="BQ68" s="175">
        <v>12052.58</v>
      </c>
      <c r="BR68" s="248">
        <v>11643.36</v>
      </c>
      <c r="BS68" s="247">
        <v>10051.790000000001</v>
      </c>
      <c r="BT68" s="175">
        <f t="shared" si="16"/>
        <v>1591.57</v>
      </c>
      <c r="BU68" s="175">
        <v>9119</v>
      </c>
      <c r="BV68" s="175">
        <v>4544.6099999999997</v>
      </c>
      <c r="BW68" s="248">
        <v>3916.37</v>
      </c>
      <c r="BX68" s="247">
        <v>10103.19</v>
      </c>
      <c r="BY68" s="175">
        <f t="shared" si="17"/>
        <v>-6186.82</v>
      </c>
      <c r="BZ68" s="176">
        <f t="shared" si="18"/>
        <v>36735</v>
      </c>
      <c r="CA68" s="176">
        <f t="shared" si="18"/>
        <v>37826.450000000004</v>
      </c>
      <c r="CB68" s="176">
        <f t="shared" si="18"/>
        <v>35374.897315001072</v>
      </c>
      <c r="CC68" s="176">
        <f>SUM(BI68,BN68,BS68,BX68)</f>
        <v>39139.980000000003</v>
      </c>
      <c r="CD68" s="177">
        <f t="shared" si="19"/>
        <v>-3765.08</v>
      </c>
      <c r="CE68" s="170">
        <v>9655</v>
      </c>
      <c r="CF68" s="168">
        <v>13266.06</v>
      </c>
      <c r="CG68" s="168">
        <v>11562.69</v>
      </c>
      <c r="CH68" s="174">
        <v>9136.15</v>
      </c>
      <c r="CI68" s="168">
        <f t="shared" si="20"/>
        <v>2426.54</v>
      </c>
      <c r="CJ68" s="168"/>
      <c r="CK68" s="168"/>
      <c r="CL68" s="168"/>
      <c r="CM68" s="171"/>
      <c r="CN68" s="168">
        <f t="shared" si="21"/>
        <v>0</v>
      </c>
      <c r="CO68" s="175"/>
      <c r="CP68" s="175"/>
      <c r="CQ68" s="248"/>
      <c r="CR68" s="247"/>
      <c r="CS68" s="175">
        <f t="shared" si="22"/>
        <v>0</v>
      </c>
      <c r="CT68" s="175"/>
      <c r="CU68" s="175"/>
      <c r="CV68" s="248"/>
      <c r="CW68" s="247"/>
      <c r="CX68" s="175">
        <f t="shared" si="23"/>
        <v>0</v>
      </c>
      <c r="CY68" s="176">
        <f t="shared" si="24"/>
        <v>9655</v>
      </c>
      <c r="CZ68" s="176">
        <f t="shared" si="25"/>
        <v>13266.06</v>
      </c>
      <c r="DA68" s="176">
        <f t="shared" si="34"/>
        <v>11562.69</v>
      </c>
      <c r="DB68" s="176">
        <f>SUM(CH68,CM68,CR68,CW68)</f>
        <v>9136.15</v>
      </c>
      <c r="DC68" s="177">
        <f t="shared" si="28"/>
        <v>2426.54</v>
      </c>
      <c r="DD68" s="178">
        <f t="shared" si="29"/>
        <v>121697.66</v>
      </c>
      <c r="DE68" s="176">
        <f t="shared" si="30"/>
        <v>127375.13754</v>
      </c>
      <c r="DF68" s="176">
        <f t="shared" si="31"/>
        <v>122812.04837973269</v>
      </c>
      <c r="DG68" s="176">
        <f t="shared" si="32"/>
        <v>125863.52000000002</v>
      </c>
      <c r="DH68" s="177">
        <f t="shared" si="33"/>
        <v>-3051.47</v>
      </c>
    </row>
    <row r="69" spans="1:113" x14ac:dyDescent="0.3">
      <c r="A69" s="97" t="s">
        <v>77</v>
      </c>
      <c r="B69" s="115">
        <v>5</v>
      </c>
      <c r="C69" s="166">
        <v>16540</v>
      </c>
      <c r="D69" s="167">
        <v>16332.66</v>
      </c>
      <c r="E69" s="168">
        <v>16332.66</v>
      </c>
      <c r="F69" s="168">
        <v>16362.87</v>
      </c>
      <c r="G69" s="169">
        <f>ROUND((E69-F69),2)</f>
        <v>-30.21</v>
      </c>
      <c r="H69" s="170">
        <v>13689</v>
      </c>
      <c r="I69" s="168">
        <v>12978.26</v>
      </c>
      <c r="J69" s="168">
        <v>12978.255347460001</v>
      </c>
      <c r="K69" s="168">
        <v>13505.039999999999</v>
      </c>
      <c r="L69" s="171">
        <f>ROUND((J69-K69),2)</f>
        <v>-526.78</v>
      </c>
      <c r="M69" s="168">
        <v>15397</v>
      </c>
      <c r="N69" s="168">
        <v>15397</v>
      </c>
      <c r="O69" s="168">
        <v>15397</v>
      </c>
      <c r="P69" s="168">
        <v>13851.4</v>
      </c>
      <c r="Q69" s="171">
        <f>ROUND((O69-P69),2)</f>
        <v>1545.6</v>
      </c>
      <c r="R69" s="168">
        <v>13505.039999999999</v>
      </c>
      <c r="S69" s="168">
        <v>13116.677100000001</v>
      </c>
      <c r="T69" s="168">
        <v>13116.677100000001</v>
      </c>
      <c r="U69" s="168">
        <v>13905.7</v>
      </c>
      <c r="V69" s="171">
        <f>ROUND((T69-U69),2)</f>
        <v>-789.02</v>
      </c>
      <c r="W69" s="168">
        <v>16000</v>
      </c>
      <c r="X69" s="168">
        <v>15696</v>
      </c>
      <c r="Y69" s="168">
        <v>15696</v>
      </c>
      <c r="Z69" s="168">
        <v>16325.8</v>
      </c>
      <c r="AA69" s="171">
        <f>ROUND((Y69-Z69),2)</f>
        <v>-629.79999999999995</v>
      </c>
      <c r="AB69" s="172">
        <f t="shared" ref="AB69:AD70" si="35">SUM(H69,M69,R69,W69)</f>
        <v>58591.040000000001</v>
      </c>
      <c r="AC69" s="172">
        <f t="shared" si="35"/>
        <v>57187.937100000003</v>
      </c>
      <c r="AD69" s="172">
        <f t="shared" si="35"/>
        <v>57187.93244746</v>
      </c>
      <c r="AE69" s="172">
        <f>SUM(K69,P69,U69,Z69)</f>
        <v>57587.94</v>
      </c>
      <c r="AF69" s="173">
        <f>ROUND((AD69-AE69),2)</f>
        <v>-400.01</v>
      </c>
      <c r="AG69" s="170">
        <v>14100</v>
      </c>
      <c r="AH69" s="168">
        <v>13900.41</v>
      </c>
      <c r="AI69" s="168">
        <v>13900.41</v>
      </c>
      <c r="AJ69" s="168">
        <v>10976.650000000001</v>
      </c>
      <c r="AK69" s="171">
        <f>ROUND((AI69-AJ69),2)</f>
        <v>2923.76</v>
      </c>
      <c r="AL69" s="168">
        <v>18100</v>
      </c>
      <c r="AM69" s="168">
        <v>18729.8</v>
      </c>
      <c r="AN69" s="168">
        <v>18729.8</v>
      </c>
      <c r="AO69" s="168">
        <v>16133.960000000001</v>
      </c>
      <c r="AP69" s="171">
        <f>ROUND((AN69-AO69),2)</f>
        <v>2595.84</v>
      </c>
      <c r="AQ69" s="168">
        <v>13400</v>
      </c>
      <c r="AR69" s="168">
        <v>8310.61</v>
      </c>
      <c r="AS69" s="168">
        <v>8226.219777667573</v>
      </c>
      <c r="AT69" s="168">
        <v>13387.92</v>
      </c>
      <c r="AU69" s="171">
        <f>ROUND((AS69-AT69),2)</f>
        <v>-5161.7</v>
      </c>
      <c r="AV69" s="168">
        <v>15916</v>
      </c>
      <c r="AW69" s="168">
        <v>15518.04</v>
      </c>
      <c r="AX69" s="168">
        <v>14939.36</v>
      </c>
      <c r="AY69" s="171">
        <v>16580.93</v>
      </c>
      <c r="AZ69" s="171">
        <f>ROUND((AX69-AY69),2)</f>
        <v>-1641.57</v>
      </c>
      <c r="BA69" s="172">
        <f t="shared" ref="BA69:BC71" si="36">SUM(AG69,AL69,AQ69,AV69)</f>
        <v>61516</v>
      </c>
      <c r="BB69" s="172">
        <f t="shared" si="36"/>
        <v>56458.86</v>
      </c>
      <c r="BC69" s="172">
        <f t="shared" si="36"/>
        <v>55795.789777667575</v>
      </c>
      <c r="BD69" s="172">
        <f>SUM(AJ69,AO69,AT69,AY69)</f>
        <v>57079.46</v>
      </c>
      <c r="BE69" s="173">
        <f>ROUND((BC69-BD69),2)</f>
        <v>-1283.67</v>
      </c>
      <c r="BF69" s="170">
        <v>14563</v>
      </c>
      <c r="BG69" s="168">
        <v>17797.28</v>
      </c>
      <c r="BH69" s="168">
        <v>16434.447850497138</v>
      </c>
      <c r="BI69" s="174">
        <v>13975.66</v>
      </c>
      <c r="BJ69" s="168">
        <f t="shared" si="14"/>
        <v>2458.79</v>
      </c>
      <c r="BK69" s="168">
        <v>14470</v>
      </c>
      <c r="BL69" s="168">
        <v>13969.36</v>
      </c>
      <c r="BM69" s="168">
        <v>13132.847857476745</v>
      </c>
      <c r="BN69" s="171">
        <v>16564.93</v>
      </c>
      <c r="BO69" s="168">
        <f>ROUND((BM69-BN69),2)</f>
        <v>-3432.08</v>
      </c>
      <c r="BP69" s="175">
        <v>13300</v>
      </c>
      <c r="BQ69" s="175">
        <v>10019.799999999999</v>
      </c>
      <c r="BR69" s="248">
        <v>9679.6</v>
      </c>
      <c r="BS69" s="247">
        <v>12814.380000000001</v>
      </c>
      <c r="BT69" s="175">
        <f>ROUND((BR69-BS69),2)</f>
        <v>-3134.78</v>
      </c>
      <c r="BU69" s="175">
        <v>16800</v>
      </c>
      <c r="BV69" s="175">
        <v>24628.1</v>
      </c>
      <c r="BW69" s="248">
        <v>21223.54</v>
      </c>
      <c r="BX69" s="247">
        <v>17111.14</v>
      </c>
      <c r="BY69" s="175">
        <f>ROUND((BW69-BX69),2)</f>
        <v>4112.3999999999996</v>
      </c>
      <c r="BZ69" s="176">
        <f t="shared" ref="BZ69:CB70" si="37">SUM(BF69,BK69,BP69,BU69)</f>
        <v>59133</v>
      </c>
      <c r="CA69" s="176">
        <f t="shared" si="37"/>
        <v>66414.540000000008</v>
      </c>
      <c r="CB69" s="176">
        <f t="shared" si="37"/>
        <v>60470.435707973884</v>
      </c>
      <c r="CC69" s="176">
        <f>SUM(BI69,BN69,BS69,BX69)</f>
        <v>60466.11</v>
      </c>
      <c r="CD69" s="177">
        <f>ROUND((CB69-CC69),2)</f>
        <v>4.33</v>
      </c>
      <c r="CE69" s="170">
        <v>17650</v>
      </c>
      <c r="CF69" s="168">
        <v>16741.18</v>
      </c>
      <c r="CG69" s="168">
        <v>14591.6</v>
      </c>
      <c r="CH69" s="174">
        <v>12499.619999999999</v>
      </c>
      <c r="CI69" s="168">
        <f t="shared" si="20"/>
        <v>2091.98</v>
      </c>
      <c r="CJ69" s="168"/>
      <c r="CK69" s="168"/>
      <c r="CL69" s="168"/>
      <c r="CM69" s="171"/>
      <c r="CN69" s="168">
        <f>ROUND((CL69-CM69),2)</f>
        <v>0</v>
      </c>
      <c r="CO69" s="175"/>
      <c r="CP69" s="175"/>
      <c r="CQ69" s="248"/>
      <c r="CR69" s="247"/>
      <c r="CS69" s="175">
        <f>ROUND((CQ69-CR69),2)</f>
        <v>0</v>
      </c>
      <c r="CT69" s="175"/>
      <c r="CU69" s="175"/>
      <c r="CV69" s="248"/>
      <c r="CW69" s="247"/>
      <c r="CX69" s="175">
        <f>ROUND((CV69-CW69),2)</f>
        <v>0</v>
      </c>
      <c r="CY69" s="176">
        <f t="shared" ref="CY69:CY70" si="38">SUM(CE69,CJ69,CO69,CT69)</f>
        <v>17650</v>
      </c>
      <c r="CZ69" s="176">
        <f t="shared" ref="CZ69:CZ70" si="39">SUM(CF69,CK69,CP69,CU69)</f>
        <v>16741.18</v>
      </c>
      <c r="DA69" s="176">
        <f t="shared" si="34"/>
        <v>14591.6</v>
      </c>
      <c r="DB69" s="176">
        <f>SUM(CH69,CM69,CR69,CW69)</f>
        <v>12499.619999999999</v>
      </c>
      <c r="DC69" s="177">
        <f>ROUND((DA69-DB69),2)</f>
        <v>2091.98</v>
      </c>
      <c r="DD69" s="178">
        <f t="shared" ref="DD69:DD70" si="40">SUM(C69,AB69,BA69,BZ69,CY69)</f>
        <v>213430.04</v>
      </c>
      <c r="DE69" s="176">
        <f t="shared" ref="DE69:DE70" si="41">SUM(D69,AC69,BB69,CA69,CZ69)</f>
        <v>213135.1771</v>
      </c>
      <c r="DF69" s="176">
        <f t="shared" ref="DF69:DF70" si="42">SUM(E69,AD69,BC69,CB69,DA69)</f>
        <v>204378.41793310145</v>
      </c>
      <c r="DG69" s="176">
        <f t="shared" ref="DG69:DG70" si="43">SUM(F69,AE69,BD69,CC69,DB69)</f>
        <v>203996</v>
      </c>
      <c r="DH69" s="177">
        <f>ROUND((DF69-DG69),2)</f>
        <v>382.42</v>
      </c>
    </row>
    <row r="70" spans="1:113" x14ac:dyDescent="0.3">
      <c r="A70" s="97" t="s">
        <v>78</v>
      </c>
      <c r="B70" s="115">
        <v>3</v>
      </c>
      <c r="C70" s="166">
        <v>7731.51</v>
      </c>
      <c r="D70" s="167">
        <v>7634.59</v>
      </c>
      <c r="E70" s="168">
        <v>7634.59</v>
      </c>
      <c r="F70" s="168">
        <v>9255.14</v>
      </c>
      <c r="G70" s="169">
        <f>ROUND((E70-F70),2)</f>
        <v>-1620.55</v>
      </c>
      <c r="H70" s="170">
        <v>13798.41</v>
      </c>
      <c r="I70" s="168">
        <v>13081.98</v>
      </c>
      <c r="J70" s="168">
        <v>13081.9846861674</v>
      </c>
      <c r="K70" s="168">
        <v>7893.92</v>
      </c>
      <c r="L70" s="171">
        <f>ROUND((J70-K70),2)</f>
        <v>5188.0600000000004</v>
      </c>
      <c r="M70" s="168">
        <v>9600.76</v>
      </c>
      <c r="N70" s="168">
        <v>9600.76</v>
      </c>
      <c r="O70" s="168">
        <v>9600.76</v>
      </c>
      <c r="P70" s="168">
        <v>7883.9</v>
      </c>
      <c r="Q70" s="171">
        <f>ROUND((O70-P70),2)</f>
        <v>1716.86</v>
      </c>
      <c r="R70" s="168">
        <v>1053.8200000000002</v>
      </c>
      <c r="S70" s="168">
        <v>0</v>
      </c>
      <c r="T70" s="168">
        <v>0</v>
      </c>
      <c r="U70" s="168">
        <v>8009.58</v>
      </c>
      <c r="V70" s="171">
        <f>ROUND((T70-U70),2)</f>
        <v>-8009.58</v>
      </c>
      <c r="W70" s="168">
        <v>12039.61</v>
      </c>
      <c r="X70" s="168">
        <v>11810.86</v>
      </c>
      <c r="Y70" s="168">
        <v>11810.86</v>
      </c>
      <c r="Z70" s="168">
        <v>17672.62</v>
      </c>
      <c r="AA70" s="171">
        <f>ROUND((Y70-Z70),2)</f>
        <v>-5861.76</v>
      </c>
      <c r="AB70" s="172">
        <f t="shared" si="35"/>
        <v>36492.6</v>
      </c>
      <c r="AC70" s="172">
        <f t="shared" si="35"/>
        <v>34493.599999999999</v>
      </c>
      <c r="AD70" s="172">
        <f t="shared" si="35"/>
        <v>34493.604686167397</v>
      </c>
      <c r="AE70" s="172">
        <f>SUM(K70,P70,U70,Z70)</f>
        <v>41460.020000000004</v>
      </c>
      <c r="AF70" s="173">
        <f>ROUND((AD70-AE70),2)</f>
        <v>-6966.42</v>
      </c>
      <c r="AG70" s="170">
        <v>10439</v>
      </c>
      <c r="AH70" s="168">
        <v>13164.21</v>
      </c>
      <c r="AI70" s="168">
        <v>13164.21</v>
      </c>
      <c r="AJ70" s="168">
        <v>7358.0700000000006</v>
      </c>
      <c r="AK70" s="171">
        <f>ROUND((AI70-AJ70),2)</f>
        <v>5806.14</v>
      </c>
      <c r="AL70" s="168">
        <v>10539</v>
      </c>
      <c r="AM70" s="168">
        <v>14531.65</v>
      </c>
      <c r="AN70" s="168">
        <v>14531.65</v>
      </c>
      <c r="AO70" s="168">
        <v>9703.5300000000007</v>
      </c>
      <c r="AP70" s="171">
        <f>ROUND((AN70-AO70),2)</f>
        <v>4828.12</v>
      </c>
      <c r="AQ70" s="168">
        <v>10539</v>
      </c>
      <c r="AR70" s="168">
        <v>8491.7099999999991</v>
      </c>
      <c r="AS70" s="168">
        <v>8405.4807948174075</v>
      </c>
      <c r="AT70" s="168">
        <v>7750.87</v>
      </c>
      <c r="AU70" s="171">
        <f>ROUND((AS70-AT70),2)</f>
        <v>654.61</v>
      </c>
      <c r="AV70" s="168">
        <v>10900</v>
      </c>
      <c r="AW70" s="168">
        <v>10157.23</v>
      </c>
      <c r="AX70" s="168">
        <v>9778.4599999999991</v>
      </c>
      <c r="AY70" s="171">
        <v>13340.78</v>
      </c>
      <c r="AZ70" s="171">
        <f>ROUND((AX70-AY70),2)</f>
        <v>-3562.32</v>
      </c>
      <c r="BA70" s="172">
        <f t="shared" si="36"/>
        <v>42417</v>
      </c>
      <c r="BB70" s="172">
        <f t="shared" si="36"/>
        <v>46344.800000000003</v>
      </c>
      <c r="BC70" s="172">
        <f t="shared" si="36"/>
        <v>45879.800794817405</v>
      </c>
      <c r="BD70" s="172">
        <f>SUM(AJ70,AO70,AT70,AY70)</f>
        <v>38153.25</v>
      </c>
      <c r="BE70" s="173">
        <f>ROUND((BC70-BD70),2)</f>
        <v>7726.55</v>
      </c>
      <c r="BF70" s="170">
        <v>10450</v>
      </c>
      <c r="BG70" s="168">
        <v>9818.02</v>
      </c>
      <c r="BH70" s="168">
        <v>9066.2021210622006</v>
      </c>
      <c r="BI70" s="174">
        <v>7932.3799999999992</v>
      </c>
      <c r="BJ70" s="168">
        <f>ROUND((BH70-BI70),2)</f>
        <v>1133.82</v>
      </c>
      <c r="BK70" s="168">
        <v>10415</v>
      </c>
      <c r="BL70" s="168">
        <v>13890.45</v>
      </c>
      <c r="BM70" s="168">
        <v>13058.663140035609</v>
      </c>
      <c r="BN70" s="171">
        <v>12792.74</v>
      </c>
      <c r="BO70" s="168">
        <f>ROUND((BM70-BN70),2)</f>
        <v>265.92</v>
      </c>
      <c r="BP70" s="175">
        <v>11500</v>
      </c>
      <c r="BQ70" s="175">
        <v>10571.19</v>
      </c>
      <c r="BR70" s="248">
        <v>10212.27</v>
      </c>
      <c r="BS70" s="247">
        <v>10808.740000000002</v>
      </c>
      <c r="BT70" s="175">
        <f>ROUND((BR70-BS70),2)</f>
        <v>-596.47</v>
      </c>
      <c r="BU70" s="175">
        <v>10700</v>
      </c>
      <c r="BV70" s="175">
        <v>10745.14</v>
      </c>
      <c r="BW70" s="248">
        <v>9259.75</v>
      </c>
      <c r="BX70" s="247">
        <v>9985.77</v>
      </c>
      <c r="BY70" s="175">
        <f>ROUND((BW70-BX70),2)</f>
        <v>-726.02</v>
      </c>
      <c r="BZ70" s="176">
        <f t="shared" si="37"/>
        <v>43065</v>
      </c>
      <c r="CA70" s="176">
        <f t="shared" si="37"/>
        <v>45024.800000000003</v>
      </c>
      <c r="CB70" s="176">
        <f t="shared" si="37"/>
        <v>41596.885261097807</v>
      </c>
      <c r="CC70" s="176">
        <f>SUM(BI70,BN70,BS70,BX70)</f>
        <v>41519.630000000005</v>
      </c>
      <c r="CD70" s="177">
        <f>ROUND((CB70-CC70),2)</f>
        <v>77.260000000000005</v>
      </c>
      <c r="CE70" s="170">
        <v>10610</v>
      </c>
      <c r="CF70" s="168">
        <v>10691.71</v>
      </c>
      <c r="CG70" s="168">
        <v>9318.8799999999992</v>
      </c>
      <c r="CH70" s="174">
        <v>8092.9</v>
      </c>
      <c r="CI70" s="168">
        <f>ROUND((CG70-CH70),2)</f>
        <v>1225.98</v>
      </c>
      <c r="CJ70" s="168"/>
      <c r="CK70" s="168"/>
      <c r="CL70" s="168"/>
      <c r="CM70" s="171"/>
      <c r="CN70" s="168">
        <f>ROUND((CL70-CM70),2)</f>
        <v>0</v>
      </c>
      <c r="CO70" s="175"/>
      <c r="CP70" s="175"/>
      <c r="CQ70" s="248"/>
      <c r="CR70" s="247"/>
      <c r="CS70" s="175">
        <f>ROUND((CQ70-CR70),2)</f>
        <v>0</v>
      </c>
      <c r="CT70" s="175"/>
      <c r="CU70" s="175"/>
      <c r="CV70" s="248"/>
      <c r="CW70" s="247"/>
      <c r="CX70" s="175">
        <f>ROUND((CV70-CW70),2)</f>
        <v>0</v>
      </c>
      <c r="CY70" s="176">
        <f t="shared" si="38"/>
        <v>10610</v>
      </c>
      <c r="CZ70" s="176">
        <f t="shared" si="39"/>
        <v>10691.71</v>
      </c>
      <c r="DA70" s="176">
        <f t="shared" si="34"/>
        <v>9318.8799999999992</v>
      </c>
      <c r="DB70" s="176">
        <f>SUM(CH70,CM70,CR70,CW70)</f>
        <v>8092.9</v>
      </c>
      <c r="DC70" s="177">
        <f>ROUND((DA70-DB70),2)</f>
        <v>1225.98</v>
      </c>
      <c r="DD70" s="178">
        <f t="shared" si="40"/>
        <v>140316.10999999999</v>
      </c>
      <c r="DE70" s="176">
        <f t="shared" si="41"/>
        <v>144189.5</v>
      </c>
      <c r="DF70" s="176">
        <f t="shared" si="42"/>
        <v>138923.76074208261</v>
      </c>
      <c r="DG70" s="176">
        <f t="shared" si="43"/>
        <v>138480.94</v>
      </c>
      <c r="DH70" s="177">
        <f>ROUND((DF70-DG70),2)</f>
        <v>442.82</v>
      </c>
    </row>
    <row r="71" spans="1:113" s="111" customFormat="1" ht="16.5" thickBot="1" x14ac:dyDescent="0.35">
      <c r="A71" s="111" t="s">
        <v>277</v>
      </c>
      <c r="B71" s="224"/>
      <c r="C71" s="182">
        <f>SUM(C4:C70)</f>
        <v>2965626.6899999995</v>
      </c>
      <c r="D71" s="183">
        <f t="shared" ref="D71:P71" si="44">SUM(D4:D70)</f>
        <v>2924999.9700000011</v>
      </c>
      <c r="E71" s="184">
        <f t="shared" si="44"/>
        <v>2924999.9700000011</v>
      </c>
      <c r="F71" s="184">
        <f t="shared" si="44"/>
        <v>3002999.96</v>
      </c>
      <c r="G71" s="185">
        <f>SUM(G4:G70)</f>
        <v>-77742.830000000016</v>
      </c>
      <c r="H71" s="186">
        <f t="shared" si="44"/>
        <v>3085154.9</v>
      </c>
      <c r="I71" s="184">
        <f t="shared" si="44"/>
        <v>2924970.9799999995</v>
      </c>
      <c r="J71" s="184">
        <f t="shared" si="44"/>
        <v>2924971.0043587857</v>
      </c>
      <c r="K71" s="184">
        <f t="shared" si="44"/>
        <v>2623040.85</v>
      </c>
      <c r="L71" s="184">
        <f t="shared" si="44"/>
        <v>301930.13999999996</v>
      </c>
      <c r="M71" s="184">
        <f t="shared" si="44"/>
        <v>2948671.7800000003</v>
      </c>
      <c r="N71" s="184">
        <f t="shared" si="44"/>
        <v>2804653.89</v>
      </c>
      <c r="O71" s="184">
        <f t="shared" si="44"/>
        <v>2803311.14</v>
      </c>
      <c r="P71" s="184">
        <f t="shared" si="44"/>
        <v>2881332.6409999998</v>
      </c>
      <c r="Q71" s="184">
        <f t="shared" ref="Q71:AZ71" si="45">SUM(Q4:Q70)</f>
        <v>-78021.500000000029</v>
      </c>
      <c r="R71" s="184">
        <f t="shared" si="45"/>
        <v>2914284.6599999997</v>
      </c>
      <c r="S71" s="184">
        <f t="shared" si="45"/>
        <v>3046717.9140850003</v>
      </c>
      <c r="T71" s="184">
        <f t="shared" si="45"/>
        <v>3046717.9140850003</v>
      </c>
      <c r="U71" s="184">
        <f t="shared" si="45"/>
        <v>2958858.9000000004</v>
      </c>
      <c r="V71" s="184">
        <f t="shared" si="45"/>
        <v>87859.030000000028</v>
      </c>
      <c r="W71" s="184">
        <f t="shared" si="45"/>
        <v>2978953.5899999994</v>
      </c>
      <c r="X71" s="184">
        <f t="shared" si="45"/>
        <v>2922353.4200000004</v>
      </c>
      <c r="Y71" s="184">
        <f t="shared" si="45"/>
        <v>2922353.4200000004</v>
      </c>
      <c r="Z71" s="184">
        <f t="shared" si="45"/>
        <v>2991918.06</v>
      </c>
      <c r="AA71" s="184">
        <f t="shared" si="45"/>
        <v>-69564.640000000029</v>
      </c>
      <c r="AB71" s="187">
        <f t="shared" si="45"/>
        <v>11927064.930000003</v>
      </c>
      <c r="AC71" s="187">
        <f t="shared" si="45"/>
        <v>11698696.204084998</v>
      </c>
      <c r="AD71" s="187">
        <f t="shared" si="45"/>
        <v>11697353.478443787</v>
      </c>
      <c r="AE71" s="187">
        <f t="shared" si="45"/>
        <v>11455150.450999996</v>
      </c>
      <c r="AF71" s="188">
        <f t="shared" si="45"/>
        <v>242203.00999999995</v>
      </c>
      <c r="AG71" s="186">
        <f t="shared" si="45"/>
        <v>2890473</v>
      </c>
      <c r="AH71" s="184">
        <f t="shared" si="45"/>
        <v>2675882.4100000006</v>
      </c>
      <c r="AI71" s="184">
        <f t="shared" si="45"/>
        <v>2675882.4100000006</v>
      </c>
      <c r="AJ71" s="184">
        <f t="shared" si="45"/>
        <v>2811587.2300000009</v>
      </c>
      <c r="AK71" s="184">
        <f t="shared" si="45"/>
        <v>-135704.81999999995</v>
      </c>
      <c r="AL71" s="184">
        <f t="shared" si="45"/>
        <v>2986768</v>
      </c>
      <c r="AM71" s="184">
        <f t="shared" si="45"/>
        <v>2974214.4699999993</v>
      </c>
      <c r="AN71" s="184">
        <f t="shared" si="45"/>
        <v>2974214.4699999993</v>
      </c>
      <c r="AO71" s="184">
        <f t="shared" si="45"/>
        <v>3071974.0199999996</v>
      </c>
      <c r="AP71" s="184">
        <f t="shared" si="45"/>
        <v>-97759.550000000017</v>
      </c>
      <c r="AQ71" s="184">
        <f t="shared" si="45"/>
        <v>3051893.73</v>
      </c>
      <c r="AR71" s="184">
        <f t="shared" si="45"/>
        <v>3159634.2574999998</v>
      </c>
      <c r="AS71" s="184">
        <f t="shared" si="45"/>
        <v>3127549.7033333299</v>
      </c>
      <c r="AT71" s="184">
        <f t="shared" si="45"/>
        <v>3135640.2300000018</v>
      </c>
      <c r="AU71" s="184">
        <f t="shared" si="45"/>
        <v>-8090.5099999999775</v>
      </c>
      <c r="AV71" s="184">
        <f t="shared" si="45"/>
        <v>3046831</v>
      </c>
      <c r="AW71" s="184">
        <f t="shared" si="45"/>
        <v>3038300.1100000003</v>
      </c>
      <c r="AX71" s="184">
        <f t="shared" si="45"/>
        <v>2925709.8300000005</v>
      </c>
      <c r="AY71" s="184">
        <f t="shared" si="45"/>
        <v>3104736.6900000004</v>
      </c>
      <c r="AZ71" s="184">
        <f t="shared" si="45"/>
        <v>-179026.86000000007</v>
      </c>
      <c r="BA71" s="187">
        <f>SUM(AG71,AL71,AQ71,AV71)</f>
        <v>11975965.73</v>
      </c>
      <c r="BB71" s="187">
        <f t="shared" si="36"/>
        <v>11848031.247499999</v>
      </c>
      <c r="BC71" s="187">
        <f t="shared" si="36"/>
        <v>11703356.41333333</v>
      </c>
      <c r="BD71" s="187">
        <f>SUM(AJ71,AO71,AT71,AY71)</f>
        <v>12123938.170000002</v>
      </c>
      <c r="BE71" s="188">
        <f t="shared" ref="BE71:BN71" si="46">SUM(BE4:BE70)</f>
        <v>-420581.73999999993</v>
      </c>
      <c r="BF71" s="186">
        <f t="shared" si="46"/>
        <v>3015804.63</v>
      </c>
      <c r="BG71" s="184">
        <f t="shared" si="46"/>
        <v>3167525.21</v>
      </c>
      <c r="BH71" s="184">
        <f t="shared" si="46"/>
        <v>2924971.0000000009</v>
      </c>
      <c r="BI71" s="184">
        <f t="shared" si="46"/>
        <v>2805960.08</v>
      </c>
      <c r="BJ71" s="189">
        <f t="shared" si="46"/>
        <v>119010.87000000001</v>
      </c>
      <c r="BK71" s="184">
        <f t="shared" si="46"/>
        <v>3043972</v>
      </c>
      <c r="BL71" s="184">
        <f t="shared" si="46"/>
        <v>3111327.2600000007</v>
      </c>
      <c r="BM71" s="184">
        <f t="shared" si="46"/>
        <v>2925014.9999999991</v>
      </c>
      <c r="BN71" s="184">
        <f t="shared" si="46"/>
        <v>3020906.4400000009</v>
      </c>
      <c r="BO71" s="189">
        <f>ROUND((BM71-BN71),2)</f>
        <v>-95891.44</v>
      </c>
      <c r="BP71" s="190">
        <f>SUM(BP4:BP70)</f>
        <v>3070980</v>
      </c>
      <c r="BQ71" s="190">
        <f>SUM(BQ4:BQ70)</f>
        <v>3027817.4999999995</v>
      </c>
      <c r="BR71" s="190">
        <f>SUM(BR4:BR70)</f>
        <v>2925014.0100000007</v>
      </c>
      <c r="BS71" s="190">
        <f>SUM(BS4:BS70)</f>
        <v>3130988.72</v>
      </c>
      <c r="BT71" s="191">
        <f>ROUND((BR71-BS71),2)</f>
        <v>-205974.71</v>
      </c>
      <c r="BU71" s="190">
        <f t="shared" ref="BU71:CD71" si="47">SUM(BU4:BU70)</f>
        <v>3095004</v>
      </c>
      <c r="BV71" s="190">
        <f t="shared" si="47"/>
        <v>3394211.58</v>
      </c>
      <c r="BW71" s="190">
        <f t="shared" si="47"/>
        <v>2924999.9999999995</v>
      </c>
      <c r="BX71" s="190">
        <f t="shared" si="47"/>
        <v>3302488.1900000004</v>
      </c>
      <c r="BY71" s="190">
        <f t="shared" si="47"/>
        <v>-377488.19</v>
      </c>
      <c r="BZ71" s="187">
        <f t="shared" si="47"/>
        <v>12225760.630000001</v>
      </c>
      <c r="CA71" s="187">
        <f t="shared" si="47"/>
        <v>12700881.549999995</v>
      </c>
      <c r="CB71" s="187">
        <f t="shared" si="47"/>
        <v>11700000.009999998</v>
      </c>
      <c r="CC71" s="187">
        <f t="shared" si="47"/>
        <v>12260343.43</v>
      </c>
      <c r="CD71" s="192">
        <f t="shared" si="47"/>
        <v>-560343.39999999991</v>
      </c>
      <c r="CE71" s="186">
        <f t="shared" ref="CE71:CM71" si="48">SUM(CE4:CE70)</f>
        <v>3123079</v>
      </c>
      <c r="CF71" s="184">
        <f t="shared" si="48"/>
        <v>3355867.5500000003</v>
      </c>
      <c r="CG71" s="184">
        <f t="shared" si="48"/>
        <v>2924971.0000000005</v>
      </c>
      <c r="CH71" s="184">
        <f t="shared" si="48"/>
        <v>2918088.6100000013</v>
      </c>
      <c r="CI71" s="189">
        <f t="shared" si="48"/>
        <v>6882.3900000000322</v>
      </c>
      <c r="CJ71" s="184">
        <f t="shared" si="48"/>
        <v>0</v>
      </c>
      <c r="CK71" s="184">
        <f t="shared" si="48"/>
        <v>0</v>
      </c>
      <c r="CL71" s="184">
        <f t="shared" si="48"/>
        <v>0</v>
      </c>
      <c r="CM71" s="184">
        <f t="shared" si="48"/>
        <v>0</v>
      </c>
      <c r="CN71" s="189">
        <f>ROUND((CL71-CM71),2)</f>
        <v>0</v>
      </c>
      <c r="CO71" s="190">
        <f>SUM(CO4:CO70)</f>
        <v>0</v>
      </c>
      <c r="CP71" s="190">
        <f>SUM(CP4:CP70)</f>
        <v>0</v>
      </c>
      <c r="CQ71" s="190">
        <f>SUM(CQ4:CQ70)</f>
        <v>0</v>
      </c>
      <c r="CR71" s="190">
        <f>SUM(CR4:CR70)</f>
        <v>0</v>
      </c>
      <c r="CS71" s="191">
        <f>ROUND((CQ71-CR71),2)</f>
        <v>0</v>
      </c>
      <c r="CT71" s="190">
        <f t="shared" ref="CT71:DC71" si="49">SUM(CT4:CT70)</f>
        <v>0</v>
      </c>
      <c r="CU71" s="190">
        <f t="shared" si="49"/>
        <v>0</v>
      </c>
      <c r="CV71" s="190">
        <f t="shared" si="49"/>
        <v>0</v>
      </c>
      <c r="CW71" s="190">
        <f t="shared" si="49"/>
        <v>0</v>
      </c>
      <c r="CX71" s="190">
        <f t="shared" si="49"/>
        <v>0</v>
      </c>
      <c r="CY71" s="187">
        <f t="shared" si="49"/>
        <v>3123079</v>
      </c>
      <c r="CZ71" s="187">
        <f t="shared" si="49"/>
        <v>3355867.5500000003</v>
      </c>
      <c r="DA71" s="187">
        <f t="shared" si="49"/>
        <v>2924971.0000000005</v>
      </c>
      <c r="DB71" s="187">
        <f t="shared" si="49"/>
        <v>2918088.6100000013</v>
      </c>
      <c r="DC71" s="192">
        <f t="shared" si="49"/>
        <v>6882.3900000000322</v>
      </c>
      <c r="DD71" s="193">
        <f t="shared" ref="DD71:DG71" si="50">SUM(C71,AB71,BA71,BZ71)</f>
        <v>39094417.980000004</v>
      </c>
      <c r="DE71" s="194">
        <f t="shared" si="50"/>
        <v>39172608.971584991</v>
      </c>
      <c r="DF71" s="194">
        <f t="shared" si="50"/>
        <v>38025709.871777117</v>
      </c>
      <c r="DG71" s="194">
        <f t="shared" si="50"/>
        <v>38842432.010999992</v>
      </c>
      <c r="DH71" s="192">
        <f>SUM(DH4:DH70)</f>
        <v>-809839.72</v>
      </c>
    </row>
    <row r="72" spans="1:113" ht="110.25" x14ac:dyDescent="0.3">
      <c r="F72" s="218" t="s">
        <v>326</v>
      </c>
      <c r="G72" s="219">
        <f>E10-F10</f>
        <v>-257.15999999999985</v>
      </c>
      <c r="K72" s="100" t="s">
        <v>304</v>
      </c>
      <c r="L72" s="114">
        <f>+J71-K71</f>
        <v>301930.1543587856</v>
      </c>
      <c r="P72" s="100" t="s">
        <v>304</v>
      </c>
      <c r="Q72" s="114">
        <f>+O71-P71</f>
        <v>-78021.500999999698</v>
      </c>
      <c r="U72" s="100" t="s">
        <v>304</v>
      </c>
      <c r="V72" s="114">
        <f>+T71-U71</f>
        <v>87859.014084999915</v>
      </c>
      <c r="Z72" s="100" t="s">
        <v>304</v>
      </c>
      <c r="AA72" s="114">
        <f>+Y71-Z71</f>
        <v>-69564.639999999665</v>
      </c>
      <c r="AB72" s="114"/>
      <c r="AC72" s="114"/>
      <c r="AD72" s="114"/>
      <c r="AE72" s="100" t="s">
        <v>304</v>
      </c>
      <c r="AF72" s="114">
        <f>+AD71-AE71</f>
        <v>242203.02744379081</v>
      </c>
      <c r="AJ72" s="100" t="s">
        <v>304</v>
      </c>
      <c r="AK72" s="114">
        <f>+AI71-AJ71</f>
        <v>-135704.8200000003</v>
      </c>
      <c r="AO72" s="100" t="s">
        <v>304</v>
      </c>
      <c r="AP72" s="114">
        <f>+AN71-AO71</f>
        <v>-97759.550000000279</v>
      </c>
      <c r="AT72" s="100" t="s">
        <v>304</v>
      </c>
      <c r="AU72" s="114">
        <f>+AS71-AT71</f>
        <v>-8090.526666671969</v>
      </c>
      <c r="AY72" s="100" t="s">
        <v>304</v>
      </c>
      <c r="AZ72" s="114">
        <f>+AX71-AY71</f>
        <v>-179026.85999999987</v>
      </c>
      <c r="BD72" s="100" t="s">
        <v>304</v>
      </c>
      <c r="BE72" s="114">
        <f>+BC71-BD71</f>
        <v>-420581.75666667148</v>
      </c>
      <c r="BI72" s="100" t="s">
        <v>304</v>
      </c>
      <c r="BJ72" s="114">
        <f>+BH71-BI71</f>
        <v>119010.92000000086</v>
      </c>
      <c r="BN72" s="100" t="s">
        <v>304</v>
      </c>
      <c r="BO72" s="114">
        <f>+BM71-BN71</f>
        <v>-95891.440000001807</v>
      </c>
      <c r="BP72" s="97"/>
      <c r="BQ72" s="97"/>
      <c r="BR72" s="97"/>
      <c r="BS72" s="100" t="s">
        <v>304</v>
      </c>
      <c r="BT72" s="114">
        <f>+BR71-BS71</f>
        <v>-205974.7099999995</v>
      </c>
      <c r="BX72" s="100" t="s">
        <v>304</v>
      </c>
      <c r="BY72" s="114">
        <f>+BW71-BX71</f>
        <v>-377488.19000000088</v>
      </c>
      <c r="CC72" s="100" t="s">
        <v>304</v>
      </c>
      <c r="CD72" s="114">
        <f>+CB71-CC71</f>
        <v>-560343.42000000179</v>
      </c>
      <c r="CH72" s="100" t="s">
        <v>304</v>
      </c>
      <c r="CI72" s="114">
        <f>+CG71-CH71</f>
        <v>6882.3899999991991</v>
      </c>
      <c r="CM72" s="100" t="s">
        <v>304</v>
      </c>
      <c r="CN72" s="114">
        <f>+CL71-CM71</f>
        <v>0</v>
      </c>
      <c r="CR72" s="100" t="s">
        <v>304</v>
      </c>
      <c r="CS72" s="114">
        <f>+CQ71-CR71</f>
        <v>0</v>
      </c>
      <c r="CT72" s="58"/>
      <c r="CU72" s="58"/>
      <c r="CV72" s="58"/>
      <c r="CW72" s="100" t="s">
        <v>304</v>
      </c>
      <c r="CX72" s="114">
        <f>+CV71-CW71</f>
        <v>0</v>
      </c>
      <c r="CY72" s="58"/>
      <c r="CZ72" s="58"/>
      <c r="DA72" s="58"/>
      <c r="DB72" s="100" t="s">
        <v>304</v>
      </c>
      <c r="DC72" s="114">
        <f>+DA71-DB71</f>
        <v>6882.3899999991991</v>
      </c>
      <c r="DD72" s="114" t="s">
        <v>195</v>
      </c>
      <c r="DG72" s="100" t="s">
        <v>304</v>
      </c>
      <c r="DH72" s="114">
        <f>+DF71-DG71</f>
        <v>-816722.13922287524</v>
      </c>
    </row>
    <row r="73" spans="1:113" x14ac:dyDescent="0.3">
      <c r="F73" s="220" t="s">
        <v>325</v>
      </c>
      <c r="G73" s="219">
        <f>SUM(G72,G71)</f>
        <v>-77999.99000000002</v>
      </c>
      <c r="L73" s="114"/>
      <c r="Q73" s="114"/>
      <c r="V73" s="114"/>
      <c r="AA73" s="114"/>
      <c r="AB73" s="114"/>
      <c r="AC73" s="114"/>
      <c r="AF73" s="114"/>
      <c r="AK73" s="114"/>
      <c r="AP73" s="114" t="s">
        <v>195</v>
      </c>
      <c r="AU73" s="114" t="s">
        <v>195</v>
      </c>
      <c r="AZ73" s="114" t="s">
        <v>195</v>
      </c>
      <c r="BE73" s="114" t="s">
        <v>195</v>
      </c>
      <c r="BJ73" s="114" t="s">
        <v>195</v>
      </c>
      <c r="BO73" s="114" t="s">
        <v>195</v>
      </c>
      <c r="BP73" s="97"/>
      <c r="BQ73" s="97"/>
      <c r="BR73" s="97"/>
      <c r="BS73" s="97"/>
      <c r="BT73" s="114" t="s">
        <v>195</v>
      </c>
      <c r="BY73" s="114" t="s">
        <v>195</v>
      </c>
      <c r="CD73" s="114" t="s">
        <v>195</v>
      </c>
      <c r="CI73" s="114" t="s">
        <v>195</v>
      </c>
      <c r="CN73" s="114" t="s">
        <v>195</v>
      </c>
      <c r="CS73" s="114" t="s">
        <v>195</v>
      </c>
      <c r="CT73" s="58"/>
      <c r="CU73" s="58"/>
      <c r="CV73" s="58"/>
      <c r="CX73" s="114" t="s">
        <v>195</v>
      </c>
      <c r="CY73" s="58"/>
      <c r="CZ73" s="58"/>
      <c r="DA73" s="58"/>
      <c r="DC73" s="114" t="s">
        <v>195</v>
      </c>
      <c r="DH73" s="114" t="s">
        <v>195</v>
      </c>
    </row>
    <row r="74" spans="1:113" x14ac:dyDescent="0.3">
      <c r="AB74" s="114"/>
      <c r="AC74" s="114"/>
      <c r="BP74" s="97"/>
      <c r="BQ74" s="97"/>
      <c r="BR74" s="97"/>
      <c r="BS74" s="97"/>
      <c r="BT74" s="97"/>
      <c r="CT74" s="58"/>
      <c r="CU74" s="58"/>
      <c r="CV74" s="58"/>
      <c r="CY74" s="58"/>
      <c r="CZ74" s="58"/>
      <c r="DA74" s="58"/>
    </row>
    <row r="75" spans="1:113" ht="47.25" x14ac:dyDescent="0.3">
      <c r="F75" s="100" t="s">
        <v>304</v>
      </c>
      <c r="G75" s="114">
        <f>+E71-F71</f>
        <v>-77999.989999998827</v>
      </c>
      <c r="K75" s="195" t="s">
        <v>305</v>
      </c>
      <c r="L75" s="114">
        <f>+H71-I71</f>
        <v>160183.92000000039</v>
      </c>
      <c r="M75" s="196" t="str">
        <f>_xlfn.IFS(L75&gt;0,"Under-Expended",L75&lt;0,"Over-Expended",L75=0,"")</f>
        <v>Under-Expended</v>
      </c>
      <c r="P75" s="195" t="s">
        <v>305</v>
      </c>
      <c r="Q75" s="114">
        <f>+M71-N71</f>
        <v>144017.89000000013</v>
      </c>
      <c r="R75" s="196" t="str">
        <f>_xlfn.IFS(Q75&gt;0,"Under-Expended",Q75&lt;0,"Over-Expended",Q75=0,"")</f>
        <v>Under-Expended</v>
      </c>
      <c r="U75" s="195" t="s">
        <v>305</v>
      </c>
      <c r="V75" s="114">
        <f>+R71-S71</f>
        <v>-132433.2540850006</v>
      </c>
      <c r="W75" s="196" t="str">
        <f>_xlfn.IFS(V75&gt;0,"Under-Expended",V75&lt;0,"Over-Expended",V75=0,"")</f>
        <v>Over-Expended</v>
      </c>
      <c r="Z75" s="195" t="s">
        <v>305</v>
      </c>
      <c r="AA75" s="114">
        <f>+W71-X71</f>
        <v>56600.169999998994</v>
      </c>
      <c r="AB75" s="196" t="str">
        <f>_xlfn.IFS(AA75&gt;0,"Under-Expended",AA75&lt;0,"Over-Expended",AA75=0,"")</f>
        <v>Under-Expended</v>
      </c>
      <c r="AE75" s="195" t="s">
        <v>305</v>
      </c>
      <c r="AF75" s="114">
        <f>+AB71-AC71</f>
        <v>228368.72591500543</v>
      </c>
      <c r="AG75" s="196" t="str">
        <f>_xlfn.IFS(AF75&gt;0,"Under-Expended",AF75&lt;0,"Over-Expended",AF75=0,"")</f>
        <v>Under-Expended</v>
      </c>
      <c r="AJ75" s="195" t="s">
        <v>305</v>
      </c>
      <c r="AK75" s="114">
        <f>+AG71-AH71</f>
        <v>214590.58999999939</v>
      </c>
      <c r="AL75" s="196" t="str">
        <f>_xlfn.IFS(AK75&gt;0,"Under-Expended",AK75&lt;0,"Over-Expended",AK75=0,"")</f>
        <v>Under-Expended</v>
      </c>
      <c r="AO75" s="195" t="s">
        <v>305</v>
      </c>
      <c r="AP75" s="114">
        <f>+AL71-AM71</f>
        <v>12553.530000000726</v>
      </c>
      <c r="AQ75" s="196" t="str">
        <f>_xlfn.IFS(AP75&gt;0,"Under-Expended",AP75&lt;0,"Over-Expended",AP75=0,"")</f>
        <v>Under-Expended</v>
      </c>
      <c r="AT75" s="195" t="s">
        <v>305</v>
      </c>
      <c r="AU75" s="114">
        <f>+AQ71-AR71</f>
        <v>-107740.52749999985</v>
      </c>
      <c r="AV75" s="196" t="str">
        <f>_xlfn.IFS(AU75&gt;0,"Under-Expended",AU75&lt;0,"Over-Expended",AU75=0,"")</f>
        <v>Over-Expended</v>
      </c>
      <c r="AY75" s="195" t="s">
        <v>305</v>
      </c>
      <c r="AZ75" s="114">
        <f>+AV71-AW71</f>
        <v>8530.8899999996647</v>
      </c>
      <c r="BA75" s="196" t="str">
        <f>_xlfn.IFS(AZ75&gt;0,"Under-Expended",AZ75&lt;0,"Over-Expended",AZ75=0,"")</f>
        <v>Under-Expended</v>
      </c>
      <c r="BD75" s="195" t="s">
        <v>305</v>
      </c>
      <c r="BE75" s="114">
        <f>+BA71-BB71</f>
        <v>127934.48250000179</v>
      </c>
      <c r="BF75" s="196" t="str">
        <f>_xlfn.IFS(BE75&gt;0,"Under-Expended",BE75&lt;0,"Over-Expended",BE75=0,"")</f>
        <v>Under-Expended</v>
      </c>
      <c r="BI75" s="195" t="s">
        <v>305</v>
      </c>
      <c r="BJ75" s="114">
        <f>+BF71-BG71</f>
        <v>-151720.58000000007</v>
      </c>
      <c r="BK75" s="196" t="str">
        <f>_xlfn.IFS(BJ75&gt;0,"Under-Expended",BJ75&lt;0,"Over-Expended",BJ75=0,"")</f>
        <v>Over-Expended</v>
      </c>
      <c r="BN75" s="195" t="s">
        <v>305</v>
      </c>
      <c r="BO75" s="114">
        <f>+BK71-BL71</f>
        <v>-67355.260000000708</v>
      </c>
      <c r="BP75" s="196" t="str">
        <f>_xlfn.IFS(BO75&gt;0,"Under-Expended",BO75&lt;0,"Over-Expended",BO75=0,"")</f>
        <v>Over-Expended</v>
      </c>
      <c r="BQ75" s="97"/>
      <c r="BR75" s="97"/>
      <c r="BS75" s="195" t="s">
        <v>305</v>
      </c>
      <c r="BT75" s="114">
        <f>+BP71-BQ71</f>
        <v>43162.500000000466</v>
      </c>
      <c r="BU75" s="196" t="str">
        <f>_xlfn.IFS(BT75&gt;0,"Under-Expended",BT75&lt;0,"Over-Expended",BT75=0,"")</f>
        <v>Under-Expended</v>
      </c>
      <c r="BX75" s="195" t="s">
        <v>305</v>
      </c>
      <c r="BY75" s="114">
        <f>+BU71-BV71</f>
        <v>-299207.58000000007</v>
      </c>
      <c r="BZ75" s="196" t="str">
        <f>_xlfn.IFS(BY75&gt;0,"Under-Expended",BY75&lt;0,"Over-Expended",BY75=0,"")</f>
        <v>Over-Expended</v>
      </c>
      <c r="CB75" s="135" t="s">
        <v>195</v>
      </c>
      <c r="CC75" s="195" t="s">
        <v>305</v>
      </c>
      <c r="CD75" s="114">
        <f>+BZ71-CA71</f>
        <v>-475120.91999999434</v>
      </c>
      <c r="CE75" s="196" t="str">
        <f>_xlfn.IFS(CD75&gt;0,"Under-Expended",CD75&lt;0,"Over-Expended",CD75=0,"")</f>
        <v>Over-Expended</v>
      </c>
      <c r="CH75" s="195" t="s">
        <v>305</v>
      </c>
      <c r="CI75" s="114">
        <f>+CE71-CF71</f>
        <v>-232788.55000000028</v>
      </c>
      <c r="CJ75" s="196" t="str">
        <f>_xlfn.IFS(CI75&gt;0,"Under-Expended",CI75&lt;0,"Over-Expended",CI75=0,"")</f>
        <v>Over-Expended</v>
      </c>
      <c r="CM75" s="195" t="s">
        <v>305</v>
      </c>
      <c r="CN75" s="114">
        <f>+CJ71-CK71</f>
        <v>0</v>
      </c>
      <c r="CO75" s="196" t="str">
        <f>_xlfn.IFS(CN75&gt;0,"Under-Expended",CN75&lt;0,"Over-Expended",CN75=0,"")</f>
        <v/>
      </c>
      <c r="CR75" s="195" t="s">
        <v>305</v>
      </c>
      <c r="CS75" s="114">
        <f>+CO71-CP71</f>
        <v>0</v>
      </c>
      <c r="CT75" s="196" t="str">
        <f>_xlfn.IFS(CS75&gt;0,"Under-Expended",CS75&lt;0,"Over-Expended",CS75=0,"")</f>
        <v/>
      </c>
      <c r="CU75" s="58"/>
      <c r="CV75" s="58"/>
      <c r="CW75" s="195" t="s">
        <v>305</v>
      </c>
      <c r="CX75" s="114">
        <f>+CT71-CU71</f>
        <v>0</v>
      </c>
      <c r="CY75" s="196" t="str">
        <f>_xlfn.IFS(CX75&gt;0,"Under-Expended",CX75&lt;0,"Over-Expended",CX75=0,"")</f>
        <v/>
      </c>
      <c r="CZ75" s="58"/>
      <c r="DA75" s="135" t="s">
        <v>195</v>
      </c>
      <c r="DB75" s="195" t="s">
        <v>305</v>
      </c>
      <c r="DC75" s="114">
        <f>+CY71-CZ71</f>
        <v>-232788.55000000028</v>
      </c>
      <c r="DD75" s="196" t="str">
        <f>_xlfn.IFS(CD75&gt;0,"Under-Expended",CD75&lt;0,"Over-Expended",CD75=0,"")</f>
        <v>Over-Expended</v>
      </c>
      <c r="DG75" s="195" t="s">
        <v>305</v>
      </c>
      <c r="DH75" s="114">
        <f>+DD71-DE71</f>
        <v>-78190.991584986448</v>
      </c>
      <c r="DI75" s="196" t="str">
        <f>_xlfn.IFS(DH75&gt;0,"Under-Expended",DH75&lt;0,"Over-Expended",DH75=0,"")</f>
        <v>Over-Expended</v>
      </c>
    </row>
    <row r="76" spans="1:113" ht="31.5" x14ac:dyDescent="0.3">
      <c r="G76" s="114"/>
      <c r="K76" s="100" t="s">
        <v>306</v>
      </c>
      <c r="L76" s="114">
        <f>-(+H71-J71)</f>
        <v>-160183.89564121421</v>
      </c>
      <c r="P76" s="100" t="s">
        <v>306</v>
      </c>
      <c r="Q76" s="114">
        <f>-(+M71-O71)</f>
        <v>-145360.64000000013</v>
      </c>
      <c r="U76" s="100" t="s">
        <v>306</v>
      </c>
      <c r="V76" s="114">
        <f>-(+R71-T71)</f>
        <v>132433.2540850006</v>
      </c>
      <c r="Z76" s="100" t="s">
        <v>306</v>
      </c>
      <c r="AA76" s="114">
        <f>-(+W71-Y71)</f>
        <v>-56600.169999998994</v>
      </c>
      <c r="AE76" s="100" t="s">
        <v>306</v>
      </c>
      <c r="AF76" s="114">
        <f>-(+AB71-AD71)</f>
        <v>-229711.45155621693</v>
      </c>
      <c r="AI76" s="111" t="s">
        <v>307</v>
      </c>
      <c r="AJ76" s="100" t="s">
        <v>306</v>
      </c>
      <c r="AK76" s="114">
        <f>-(+AG71-AI71)</f>
        <v>-214590.58999999939</v>
      </c>
      <c r="AO76" s="100" t="s">
        <v>306</v>
      </c>
      <c r="AP76" s="114">
        <f>-(+AL71-AN71)</f>
        <v>-12553.530000000726</v>
      </c>
      <c r="AT76" s="100" t="s">
        <v>306</v>
      </c>
      <c r="AU76" s="114">
        <f>-(+AQ71-AS71)</f>
        <v>75655.973333329894</v>
      </c>
      <c r="AY76" s="100" t="s">
        <v>306</v>
      </c>
      <c r="AZ76" s="114">
        <f>-(+AV71-AX71)</f>
        <v>-121121.16999999946</v>
      </c>
      <c r="BD76" s="100" t="s">
        <v>306</v>
      </c>
      <c r="BE76" s="114">
        <f>-(+BA71-BC71)</f>
        <v>-272609.31666667014</v>
      </c>
      <c r="BI76" s="100" t="s">
        <v>306</v>
      </c>
      <c r="BJ76" s="114">
        <f>-(+BF71-BH71)</f>
        <v>-90833.629999998957</v>
      </c>
      <c r="BN76" s="100" t="s">
        <v>306</v>
      </c>
      <c r="BO76" s="114">
        <f>-(+BK71-BM71)</f>
        <v>-118957.00000000093</v>
      </c>
      <c r="BP76" s="97"/>
      <c r="BQ76" s="97"/>
      <c r="BR76" s="97"/>
      <c r="BS76" s="100" t="s">
        <v>306</v>
      </c>
      <c r="BT76" s="114">
        <f>-(+BP71-BR71)</f>
        <v>-145965.98999999929</v>
      </c>
      <c r="BX76" s="100" t="s">
        <v>306</v>
      </c>
      <c r="BY76" s="114">
        <f>-(+BU71-BW71)</f>
        <v>-170004.00000000047</v>
      </c>
      <c r="CC76" s="100" t="s">
        <v>306</v>
      </c>
      <c r="CD76" s="114">
        <f>-(+BZ71-CB71)</f>
        <v>-525760.62000000291</v>
      </c>
      <c r="CH76" s="100" t="s">
        <v>306</v>
      </c>
      <c r="CI76" s="114">
        <f>-(+CE71-CG71)</f>
        <v>-198107.99999999953</v>
      </c>
      <c r="CM76" s="100" t="s">
        <v>306</v>
      </c>
      <c r="CN76" s="114">
        <f>-(+CJ71-CL71)</f>
        <v>0</v>
      </c>
      <c r="CR76" s="100" t="s">
        <v>306</v>
      </c>
      <c r="CS76" s="114">
        <f>-(+CO71-CQ71)</f>
        <v>0</v>
      </c>
      <c r="CT76" s="58"/>
      <c r="CU76" s="58"/>
      <c r="CV76" s="58"/>
      <c r="CW76" s="100" t="s">
        <v>306</v>
      </c>
      <c r="CX76" s="114">
        <f>-(+CT71-CV71)</f>
        <v>0</v>
      </c>
      <c r="CY76" s="58"/>
      <c r="CZ76" s="58"/>
      <c r="DA76" s="58"/>
      <c r="DB76" s="100" t="s">
        <v>306</v>
      </c>
      <c r="DC76" s="114">
        <f>-(+CY71-DA71)</f>
        <v>-198107.99999999953</v>
      </c>
      <c r="DG76" s="100" t="s">
        <v>306</v>
      </c>
      <c r="DH76" s="114">
        <f>-(+DD71-DF71)</f>
        <v>-1068708.1082228869</v>
      </c>
    </row>
    <row r="77" spans="1:113" ht="32.25" thickBot="1" x14ac:dyDescent="0.35">
      <c r="K77" s="100" t="s">
        <v>308</v>
      </c>
      <c r="L77" s="114">
        <f>ABS(+H71-K71)</f>
        <v>462114.04999999981</v>
      </c>
      <c r="P77" s="100" t="s">
        <v>308</v>
      </c>
      <c r="Q77" s="114">
        <f>ABS(+M71-P71)</f>
        <v>67339.139000000432</v>
      </c>
      <c r="U77" s="100" t="s">
        <v>308</v>
      </c>
      <c r="V77" s="114">
        <f>ABS(+R71-U71)*-1</f>
        <v>-44574.240000000689</v>
      </c>
      <c r="Z77" s="100" t="s">
        <v>308</v>
      </c>
      <c r="AA77" s="114">
        <f>ABS(+W71-Z71)*-1</f>
        <v>-12964.470000000671</v>
      </c>
      <c r="AE77" s="100" t="s">
        <v>308</v>
      </c>
      <c r="AF77" s="114">
        <f>ABS(+AB71-AE71)</f>
        <v>471914.47900000773</v>
      </c>
      <c r="AJ77" s="100" t="s">
        <v>308</v>
      </c>
      <c r="AK77" s="114">
        <f>ABS(+AG71-AJ71)</f>
        <v>78885.769999999087</v>
      </c>
      <c r="AO77" s="100" t="s">
        <v>308</v>
      </c>
      <c r="AP77" s="114">
        <f>ABS(+AL71-AO71)*-1</f>
        <v>-85206.019999999553</v>
      </c>
      <c r="AT77" s="100" t="s">
        <v>308</v>
      </c>
      <c r="AU77" s="114">
        <f>ABS(+AQ71-AT71)*-1</f>
        <v>-83746.500000001863</v>
      </c>
      <c r="AY77" s="100" t="s">
        <v>308</v>
      </c>
      <c r="AZ77" s="114">
        <f>ABS(+AV71-AY71)*-1</f>
        <v>-57905.69000000041</v>
      </c>
      <c r="BD77" s="100" t="s">
        <v>308</v>
      </c>
      <c r="BE77" s="114">
        <f>ABS(+BA71-BD71)*-1</f>
        <v>-147972.44000000134</v>
      </c>
      <c r="BI77" s="100" t="s">
        <v>308</v>
      </c>
      <c r="BJ77" s="114">
        <f>ABS(+BF71-BI71)</f>
        <v>209844.54999999981</v>
      </c>
      <c r="BN77" s="100" t="s">
        <v>308</v>
      </c>
      <c r="BO77" s="114">
        <f>ABS(+BK71-BN71)</f>
        <v>23065.559999999125</v>
      </c>
      <c r="BP77" s="97"/>
      <c r="BQ77" s="97"/>
      <c r="BR77" s="97"/>
      <c r="BS77" s="100" t="s">
        <v>308</v>
      </c>
      <c r="BT77" s="114">
        <f>ABS(+BP71-BS71)</f>
        <v>60008.720000000205</v>
      </c>
      <c r="BX77" s="100" t="s">
        <v>308</v>
      </c>
      <c r="BY77" s="114">
        <f>ABS(+BU71-BX71)</f>
        <v>207484.19000000041</v>
      </c>
      <c r="CC77" s="100" t="s">
        <v>308</v>
      </c>
      <c r="CD77" s="114">
        <f>ABS(+BZ71-CC71)</f>
        <v>34582.799999998882</v>
      </c>
      <c r="CH77" s="100" t="s">
        <v>308</v>
      </c>
      <c r="CI77" s="114">
        <f>ABS(+CE71-CH71)</f>
        <v>204990.38999999873</v>
      </c>
      <c r="CM77" s="100" t="s">
        <v>308</v>
      </c>
      <c r="CN77" s="114">
        <f>ABS(+CJ71-CM71)</f>
        <v>0</v>
      </c>
      <c r="CR77" s="100" t="s">
        <v>308</v>
      </c>
      <c r="CS77" s="114">
        <f>ABS(+CO71-CR71)</f>
        <v>0</v>
      </c>
      <c r="CT77" s="58"/>
      <c r="CU77" s="58"/>
      <c r="CV77" s="58"/>
      <c r="CW77" s="100" t="s">
        <v>308</v>
      </c>
      <c r="CX77" s="114">
        <f>ABS(+CT71-CW71)</f>
        <v>0</v>
      </c>
      <c r="CY77" s="58"/>
      <c r="CZ77" s="58"/>
      <c r="DA77" s="58"/>
      <c r="DB77" s="100" t="s">
        <v>308</v>
      </c>
      <c r="DC77" s="114">
        <f>ABS(+CY71-DB71)</f>
        <v>204990.38999999873</v>
      </c>
      <c r="DG77" s="100" t="s">
        <v>308</v>
      </c>
      <c r="DH77" s="114">
        <f>ABS(+DD71-DG71)</f>
        <v>251985.96900001168</v>
      </c>
    </row>
    <row r="78" spans="1:113" ht="48" thickBot="1" x14ac:dyDescent="0.35">
      <c r="A78" s="376" t="s">
        <v>309</v>
      </c>
      <c r="B78" s="377"/>
      <c r="F78" s="195" t="s">
        <v>305</v>
      </c>
      <c r="G78" s="114">
        <f>+C71-D71</f>
        <v>40626.719999998342</v>
      </c>
      <c r="H78" s="196" t="str">
        <f>_xlfn.IFS(G78&gt;0,"Under-Expended",G78&lt;0,"Over-Expended",G78=0,"")</f>
        <v>Under-Expended</v>
      </c>
      <c r="K78" s="100" t="s">
        <v>310</v>
      </c>
      <c r="L78" s="139">
        <f>SUM(L76:L77)</f>
        <v>301930.1543587856</v>
      </c>
      <c r="P78" s="100" t="s">
        <v>310</v>
      </c>
      <c r="Q78" s="139">
        <f>SUM(Q76:Q77)</f>
        <v>-78021.500999999698</v>
      </c>
      <c r="U78" s="100" t="s">
        <v>310</v>
      </c>
      <c r="V78" s="139">
        <f>SUM(V76:V77)</f>
        <v>87859.014084999915</v>
      </c>
      <c r="Z78" s="100" t="s">
        <v>310</v>
      </c>
      <c r="AA78" s="139">
        <f>SUM(AA76:AA77)</f>
        <v>-69564.639999999665</v>
      </c>
      <c r="AE78" s="100" t="s">
        <v>310</v>
      </c>
      <c r="AF78" s="139">
        <f>SUM(AF76:AF77)</f>
        <v>242203.02744379081</v>
      </c>
      <c r="AJ78" s="100" t="s">
        <v>310</v>
      </c>
      <c r="AK78" s="139">
        <f>SUM(AK76:AK77)</f>
        <v>-135704.8200000003</v>
      </c>
      <c r="AO78" s="100" t="s">
        <v>310</v>
      </c>
      <c r="AP78" s="139">
        <f>SUM(AP76:AP77)</f>
        <v>-97759.550000000279</v>
      </c>
      <c r="AT78" s="100" t="s">
        <v>310</v>
      </c>
      <c r="AU78" s="139">
        <f>SUM(AU76:AU77)</f>
        <v>-8090.526666671969</v>
      </c>
      <c r="AY78" s="100" t="s">
        <v>310</v>
      </c>
      <c r="AZ78" s="139">
        <f>SUM(AZ76:AZ77)</f>
        <v>-179026.85999999987</v>
      </c>
      <c r="BD78" s="100" t="s">
        <v>310</v>
      </c>
      <c r="BE78" s="139">
        <f>SUM(BE76:BE77)</f>
        <v>-420581.75666667148</v>
      </c>
      <c r="BI78" s="100" t="s">
        <v>310</v>
      </c>
      <c r="BJ78" s="139">
        <f>SUM(BJ76:BJ77)</f>
        <v>119010.92000000086</v>
      </c>
      <c r="BN78" s="100" t="s">
        <v>310</v>
      </c>
      <c r="BO78" s="139">
        <f>SUM(BO76:BO77)</f>
        <v>-95891.440000001807</v>
      </c>
      <c r="BP78" s="97"/>
      <c r="BQ78" s="97"/>
      <c r="BR78" s="97"/>
      <c r="BS78" s="100" t="s">
        <v>310</v>
      </c>
      <c r="BT78" s="139">
        <f>SUM(BT76:BT77)</f>
        <v>-85957.269999999087</v>
      </c>
      <c r="BX78" s="100" t="s">
        <v>310</v>
      </c>
      <c r="BY78" s="139">
        <f>SUM(BY76:BY77)</f>
        <v>37480.189999999944</v>
      </c>
      <c r="CC78" s="100" t="s">
        <v>310</v>
      </c>
      <c r="CD78" s="139">
        <f>SUM(CD76:CD77)</f>
        <v>-491177.82000000402</v>
      </c>
      <c r="CH78" s="100" t="s">
        <v>310</v>
      </c>
      <c r="CI78" s="139">
        <f>SUM(CI76:CI77)</f>
        <v>6882.3899999991991</v>
      </c>
      <c r="CM78" s="100" t="s">
        <v>310</v>
      </c>
      <c r="CN78" s="139">
        <f>SUM(CN76:CN77)</f>
        <v>0</v>
      </c>
      <c r="CR78" s="100" t="s">
        <v>310</v>
      </c>
      <c r="CS78" s="139">
        <f>SUM(CS76:CS77)</f>
        <v>0</v>
      </c>
      <c r="CT78" s="58"/>
      <c r="CU78" s="58"/>
      <c r="CV78" s="58"/>
      <c r="CW78" s="100" t="s">
        <v>310</v>
      </c>
      <c r="CX78" s="139">
        <f>SUM(CX76:CX77)</f>
        <v>0</v>
      </c>
      <c r="CY78" s="58"/>
      <c r="CZ78" s="58"/>
      <c r="DA78" s="58"/>
      <c r="DB78" s="100" t="s">
        <v>310</v>
      </c>
      <c r="DC78" s="139">
        <f>SUM(DC76:DC77)</f>
        <v>6882.3899999991991</v>
      </c>
      <c r="DG78" s="100" t="s">
        <v>310</v>
      </c>
      <c r="DH78" s="139">
        <f>SUM(DH76:DH77)</f>
        <v>-816722.13922287524</v>
      </c>
    </row>
    <row r="79" spans="1:113" ht="32.25" thickTop="1" x14ac:dyDescent="0.3">
      <c r="A79" s="197"/>
      <c r="B79" s="198" t="s">
        <v>311</v>
      </c>
      <c r="F79" s="100" t="s">
        <v>306</v>
      </c>
      <c r="G79" s="114">
        <f>(C71-E71)*-1</f>
        <v>-40626.719999998342</v>
      </c>
      <c r="CO79" s="58"/>
      <c r="CP79" s="58"/>
      <c r="CQ79" s="58"/>
      <c r="CR79" s="58"/>
      <c r="CS79" s="58"/>
      <c r="CT79" s="58"/>
      <c r="CU79" s="58"/>
      <c r="CV79" s="58"/>
      <c r="CY79" s="58"/>
      <c r="CZ79" s="58"/>
      <c r="DA79" s="58"/>
    </row>
    <row r="80" spans="1:113" ht="31.5" x14ac:dyDescent="0.3">
      <c r="A80" s="199"/>
      <c r="B80" s="200" t="s">
        <v>312</v>
      </c>
      <c r="F80" s="100" t="s">
        <v>308</v>
      </c>
      <c r="G80" s="114">
        <f>ABS(+C71-F71)*-1</f>
        <v>-37373.270000000484</v>
      </c>
      <c r="CO80" s="58"/>
      <c r="CP80" s="58"/>
      <c r="CQ80" s="58"/>
      <c r="CR80" s="58"/>
      <c r="CS80" s="58"/>
      <c r="CT80" s="58"/>
      <c r="CU80" s="58"/>
      <c r="CV80" s="58"/>
      <c r="CY80" s="58"/>
      <c r="CZ80" s="58"/>
      <c r="DA80" s="58"/>
    </row>
    <row r="81" spans="1:105" ht="32.25" thickBot="1" x14ac:dyDescent="0.35">
      <c r="A81" s="201"/>
      <c r="B81" s="202"/>
      <c r="F81" s="100" t="s">
        <v>310</v>
      </c>
      <c r="G81" s="139">
        <f>SUM(G79:G80)</f>
        <v>-77999.989999998827</v>
      </c>
      <c r="CO81" s="58"/>
      <c r="CP81" s="58"/>
      <c r="CQ81" s="58"/>
      <c r="CR81" s="58"/>
      <c r="CS81" s="58"/>
      <c r="CT81" s="58"/>
      <c r="CU81" s="58"/>
      <c r="CV81" s="58"/>
      <c r="CY81" s="58"/>
      <c r="CZ81" s="58"/>
      <c r="DA81" s="58"/>
    </row>
    <row r="82" spans="1:105" ht="17.25" thickTop="1" thickBot="1" x14ac:dyDescent="0.35">
      <c r="A82" s="203"/>
      <c r="B82" s="204"/>
      <c r="CO82" s="58"/>
      <c r="CP82" s="58"/>
      <c r="CQ82" s="58"/>
      <c r="CR82" s="58"/>
      <c r="CS82" s="58"/>
      <c r="CT82" s="58"/>
      <c r="CU82" s="58"/>
      <c r="CV82" s="58"/>
      <c r="CY82" s="58"/>
      <c r="CZ82" s="58"/>
      <c r="DA82" s="58"/>
    </row>
  </sheetData>
  <autoFilter ref="A3:BY74" xr:uid="{00000000-0009-0000-0000-000004000000}"/>
  <mergeCells count="23">
    <mergeCell ref="BL2:BO2"/>
    <mergeCell ref="BQ2:BT2"/>
    <mergeCell ref="BV2:BY2"/>
    <mergeCell ref="BZ2:CD2"/>
    <mergeCell ref="DD2:DH2"/>
    <mergeCell ref="CF2:CI2"/>
    <mergeCell ref="CK2:CN2"/>
    <mergeCell ref="CP2:CS2"/>
    <mergeCell ref="CU2:CX2"/>
    <mergeCell ref="CY2:DC2"/>
    <mergeCell ref="A78:B78"/>
    <mergeCell ref="AH2:AK2"/>
    <mergeCell ref="AM2:AP2"/>
    <mergeCell ref="AR2:AU2"/>
    <mergeCell ref="AW2:AZ2"/>
    <mergeCell ref="BA2:BE2"/>
    <mergeCell ref="BG2:BJ2"/>
    <mergeCell ref="D2:G2"/>
    <mergeCell ref="I2:L2"/>
    <mergeCell ref="N2:Q2"/>
    <mergeCell ref="S2:V2"/>
    <mergeCell ref="X2:AA2"/>
    <mergeCell ref="AB2:AF2"/>
  </mergeCells>
  <pageMargins left="0.7" right="0.7" top="0.75" bottom="0.75" header="0.3" footer="0.3"/>
  <pageSetup orientation="portrait" blackAndWhite="1" draft="1" r:id="rId1"/>
  <headerFooter>
    <oddHeader>&amp;CJury (Over)/Under-Expended
Cumulative Analysis&amp;R&amp;P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K38"/>
  <sheetViews>
    <sheetView zoomScale="120" zoomScaleNormal="12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F24" sqref="F24"/>
    </sheetView>
  </sheetViews>
  <sheetFormatPr defaultColWidth="8.88671875" defaultRowHeight="15.75" x14ac:dyDescent="0.3"/>
  <cols>
    <col min="1" max="1" width="9" style="205" customWidth="1"/>
    <col min="2" max="2" width="15.6640625" style="205" customWidth="1"/>
    <col min="3" max="3" width="11.5546875" style="205" customWidth="1"/>
    <col min="4" max="6" width="14.33203125" style="205" bestFit="1" customWidth="1"/>
    <col min="7" max="7" width="13.33203125" style="205" bestFit="1" customWidth="1"/>
    <col min="8" max="8" width="13.5546875" style="205" bestFit="1" customWidth="1"/>
    <col min="9" max="9" width="13.88671875" style="196" bestFit="1" customWidth="1"/>
    <col min="10" max="10" width="12.5546875" style="196" bestFit="1" customWidth="1"/>
    <col min="11" max="11" width="11.5546875" style="196" customWidth="1"/>
    <col min="12" max="16384" width="8.88671875" style="196"/>
  </cols>
  <sheetData>
    <row r="1" spans="1:11" ht="16.5" thickBot="1" x14ac:dyDescent="0.35"/>
    <row r="2" spans="1:11" ht="16.5" thickBot="1" x14ac:dyDescent="0.35">
      <c r="A2" s="216" t="s">
        <v>324</v>
      </c>
      <c r="B2" s="215">
        <f>Estimate!$D$4</f>
        <v>0</v>
      </c>
    </row>
    <row r="3" spans="1:11" ht="101.25" customHeight="1" x14ac:dyDescent="0.3">
      <c r="A3" s="205" t="s">
        <v>323</v>
      </c>
      <c r="B3" s="205" t="s">
        <v>322</v>
      </c>
      <c r="C3" s="213" t="s">
        <v>321</v>
      </c>
      <c r="D3" s="213" t="s">
        <v>320</v>
      </c>
      <c r="E3" s="213" t="s">
        <v>319</v>
      </c>
      <c r="F3" s="213" t="s">
        <v>318</v>
      </c>
      <c r="G3" s="213" t="s">
        <v>317</v>
      </c>
      <c r="H3" s="213" t="s">
        <v>315</v>
      </c>
      <c r="I3" s="214" t="s">
        <v>316</v>
      </c>
      <c r="J3" s="213" t="s">
        <v>315</v>
      </c>
      <c r="K3" s="214"/>
    </row>
    <row r="4" spans="1:11" x14ac:dyDescent="0.3">
      <c r="A4" s="205">
        <v>1516</v>
      </c>
      <c r="B4" s="205">
        <v>4</v>
      </c>
      <c r="C4" s="225" t="s">
        <v>260</v>
      </c>
      <c r="D4" s="211" t="e">
        <f>VLOOKUP($B$2,JuryHD,'Lookup_OverUnderExpended_8-6-19'!$C$1,FALSE)</f>
        <v>#N/A</v>
      </c>
      <c r="E4" s="211" t="e">
        <f>VLOOKUP($B$2,JuryHD,'Lookup_OverUnderExpended_8-6-19'!$E$1,FALSE)</f>
        <v>#N/A</v>
      </c>
      <c r="F4" s="211" t="e">
        <f>VLOOKUP($B$2,JuryHD,'Lookup_OverUnderExpended_8-6-19'!$F$1,FALSE)</f>
        <v>#N/A</v>
      </c>
      <c r="G4" s="211" t="e">
        <f>VLOOKUP($B$2,JuryHD,'Lookup_OverUnderExpended_8-6-19'!$G$1,FALSE)</f>
        <v>#N/A</v>
      </c>
      <c r="H4" s="205" t="e">
        <f>_xlfn.IFS(G4&gt;0,"Under-Expended",G4&lt;0,"Over-Expended",G4=0,"")</f>
        <v>#N/A</v>
      </c>
      <c r="I4" s="117" t="e">
        <f>G4</f>
        <v>#N/A</v>
      </c>
      <c r="J4" s="205" t="e">
        <f>_xlfn.IFS(I4&gt;0,"Under-Expended",I4&lt;0,"Over-Expended",I4=0,"")</f>
        <v>#N/A</v>
      </c>
      <c r="K4" s="117"/>
    </row>
    <row r="5" spans="1:11" ht="16.5" thickBot="1" x14ac:dyDescent="0.35">
      <c r="A5" s="205">
        <v>1516</v>
      </c>
      <c r="B5" s="392" t="s">
        <v>314</v>
      </c>
      <c r="C5" s="392"/>
      <c r="D5" s="208" t="e">
        <f>D4</f>
        <v>#N/A</v>
      </c>
      <c r="E5" s="208" t="e">
        <f>E4</f>
        <v>#N/A</v>
      </c>
      <c r="F5" s="208" t="e">
        <f>F4</f>
        <v>#N/A</v>
      </c>
      <c r="G5" s="208" t="e">
        <f>G4</f>
        <v>#N/A</v>
      </c>
      <c r="H5" s="208" t="e">
        <f>H4</f>
        <v>#N/A</v>
      </c>
      <c r="I5" s="235"/>
      <c r="J5" s="236" t="str">
        <f>_xlfn.IFS(I5&gt;0,"Under-Expended",I5&lt;0,"Over-Expended",I5=0,"")</f>
        <v/>
      </c>
      <c r="K5" s="207"/>
    </row>
    <row r="6" spans="1:11" x14ac:dyDescent="0.3">
      <c r="B6" s="224"/>
      <c r="C6" s="224"/>
      <c r="D6" s="212"/>
      <c r="E6" s="212"/>
      <c r="F6" s="212"/>
      <c r="G6" s="212"/>
      <c r="H6" s="212"/>
      <c r="I6" s="209"/>
      <c r="J6" s="209"/>
      <c r="K6" s="209"/>
    </row>
    <row r="7" spans="1:11" x14ac:dyDescent="0.3">
      <c r="B7" s="224"/>
      <c r="C7" s="224"/>
      <c r="D7" s="212"/>
      <c r="E7" s="212"/>
      <c r="F7" s="212"/>
      <c r="G7" s="212"/>
      <c r="H7" s="212"/>
      <c r="I7" s="209"/>
      <c r="J7" s="209"/>
      <c r="K7" s="209"/>
    </row>
    <row r="8" spans="1:11" x14ac:dyDescent="0.3">
      <c r="A8" s="205">
        <v>1617</v>
      </c>
      <c r="B8" s="205">
        <v>1</v>
      </c>
      <c r="C8" s="225" t="s">
        <v>262</v>
      </c>
      <c r="D8" s="211" t="e">
        <f>VLOOKUP($B$2,JuryHD,'Lookup_OverUnderExpended_8-6-19'!$H$1,FALSE)</f>
        <v>#N/A</v>
      </c>
      <c r="E8" s="211" t="e">
        <f>VLOOKUP($B$2,JuryHD,'Lookup_OverUnderExpended_8-6-19'!$J$1,FALSE)</f>
        <v>#N/A</v>
      </c>
      <c r="F8" s="211" t="e">
        <f>VLOOKUP($B$2,JuryHD,'Lookup_OverUnderExpended_8-6-19'!$K$1,FALSE)</f>
        <v>#N/A</v>
      </c>
      <c r="G8" s="211" t="e">
        <f>E8-F8</f>
        <v>#N/A</v>
      </c>
      <c r="H8" s="205" t="e">
        <f>_xlfn.IFS(G8&gt;0,"Under-Expended",G8&lt;0,"Over-Expended",G8=0,"")</f>
        <v>#N/A</v>
      </c>
      <c r="I8" s="209" t="e">
        <f>+G8+I4</f>
        <v>#N/A</v>
      </c>
      <c r="J8" s="205" t="e">
        <f>_xlfn.IFS(I8&gt;0,"Under-Expended",I8&lt;0,"Over-Expended",I8=0,"")</f>
        <v>#N/A</v>
      </c>
      <c r="K8" s="209"/>
    </row>
    <row r="9" spans="1:11" x14ac:dyDescent="0.3">
      <c r="A9" s="205">
        <v>1617</v>
      </c>
      <c r="B9" s="205">
        <v>2</v>
      </c>
      <c r="C9" s="225" t="s">
        <v>264</v>
      </c>
      <c r="D9" s="211" t="e">
        <f>VLOOKUP($B$2,JuryHD,'Lookup_OverUnderExpended_8-6-19'!$M$1,FALSE)</f>
        <v>#N/A</v>
      </c>
      <c r="E9" s="265" t="e">
        <f>VLOOKUP($B$2,JuryHD,'Lookup_OverUnderExpended_8-6-19'!$O$1,FALSE)</f>
        <v>#N/A</v>
      </c>
      <c r="F9" s="211" t="e">
        <f>VLOOKUP($B$2,JuryHD,'Lookup_OverUnderExpended_8-6-19'!$P$1,FALSE)</f>
        <v>#N/A</v>
      </c>
      <c r="G9" s="211" t="e">
        <f>E9-F9</f>
        <v>#N/A</v>
      </c>
      <c r="H9" s="205" t="e">
        <f>_xlfn.IFS(G9&gt;0,"Under-Expended",G9&lt;0,"Over-Expended",G9=0,"")</f>
        <v>#N/A</v>
      </c>
      <c r="I9" s="209" t="e">
        <f>+G9+I8</f>
        <v>#N/A</v>
      </c>
      <c r="J9" s="205" t="e">
        <f>_xlfn.IFS(I9&gt;0,"Under-Expended",I9&lt;0,"Over-Expended",I9=0,"")</f>
        <v>#N/A</v>
      </c>
      <c r="K9" s="209"/>
    </row>
    <row r="10" spans="1:11" x14ac:dyDescent="0.3">
      <c r="A10" s="205">
        <v>1617</v>
      </c>
      <c r="B10" s="210">
        <v>3</v>
      </c>
      <c r="C10" s="225" t="s">
        <v>266</v>
      </c>
      <c r="D10" s="211" t="e">
        <f>VLOOKUP($B$2,JuryHD,'Lookup_OverUnderExpended_8-6-19'!$R$1,FALSE)</f>
        <v>#N/A</v>
      </c>
      <c r="E10" s="211" t="e">
        <f>VLOOKUP($B$2,JuryHD,'Lookup_OverUnderExpended_8-6-19'!$T$1,FALSE)</f>
        <v>#N/A</v>
      </c>
      <c r="F10" s="211" t="e">
        <f>VLOOKUP($B$2,JuryHD,'Lookup_OverUnderExpended_8-6-19'!$U$1,FALSE)</f>
        <v>#N/A</v>
      </c>
      <c r="G10" s="211" t="e">
        <f>E10-F10</f>
        <v>#N/A</v>
      </c>
      <c r="H10" s="205" t="e">
        <f>_xlfn.IFS(G10&gt;0,"Under-Expended",G10&lt;0,"Over-Expended",G10=0,"")</f>
        <v>#N/A</v>
      </c>
      <c r="I10" s="209" t="e">
        <f>+G10+I9</f>
        <v>#N/A</v>
      </c>
      <c r="J10" s="205" t="e">
        <f>_xlfn.IFS(I10&gt;0,"Under-Expended",I10&lt;0,"Over-Expended",I10=0,"")</f>
        <v>#N/A</v>
      </c>
      <c r="K10" s="209"/>
    </row>
    <row r="11" spans="1:11" x14ac:dyDescent="0.3">
      <c r="A11" s="205">
        <v>1617</v>
      </c>
      <c r="B11" s="210">
        <v>4</v>
      </c>
      <c r="C11" s="225" t="s">
        <v>260</v>
      </c>
      <c r="D11" s="211" t="e">
        <f>VLOOKUP($B$2,JuryHD,'Lookup_OverUnderExpended_8-6-19'!$W$1,FALSE)</f>
        <v>#N/A</v>
      </c>
      <c r="E11" s="211" t="e">
        <f>VLOOKUP($B$2,JuryHD,'Lookup_OverUnderExpended_8-6-19'!$Y$1,FALSE)</f>
        <v>#N/A</v>
      </c>
      <c r="F11" s="211" t="e">
        <f>VLOOKUP($B$2,JuryHD,'Lookup_OverUnderExpended_8-6-19'!$Z$1,FALSE)</f>
        <v>#N/A</v>
      </c>
      <c r="G11" s="211" t="e">
        <f>E11-F11</f>
        <v>#N/A</v>
      </c>
      <c r="H11" s="205" t="e">
        <f>_xlfn.IFS(G11&gt;0,"Under-Expended",G11&lt;0,"Over-Expended",G11=0,"")</f>
        <v>#N/A</v>
      </c>
      <c r="I11" s="117" t="e">
        <f>+G11+I10</f>
        <v>#N/A</v>
      </c>
      <c r="J11" s="205" t="e">
        <f>_xlfn.IFS(I11&gt;0,"Under-Expended",I11&lt;0,"Over-Expended",I11=0,"")</f>
        <v>#N/A</v>
      </c>
      <c r="K11" s="117"/>
    </row>
    <row r="12" spans="1:11" ht="16.5" thickBot="1" x14ac:dyDescent="0.35">
      <c r="A12" s="205">
        <v>1617</v>
      </c>
      <c r="B12" s="392" t="s">
        <v>314</v>
      </c>
      <c r="C12" s="392"/>
      <c r="D12" s="208" t="e">
        <f>SUM(D8:D11)</f>
        <v>#N/A</v>
      </c>
      <c r="E12" s="208" t="e">
        <f>SUM(E8:E11)</f>
        <v>#N/A</v>
      </c>
      <c r="F12" s="208" t="e">
        <f>SUM(F8:F11)</f>
        <v>#N/A</v>
      </c>
      <c r="G12" s="208" t="e">
        <f>E12-F12</f>
        <v>#N/A</v>
      </c>
      <c r="H12" s="208" t="e">
        <f>_xlfn.IFS(G12&gt;0,"Under-Expended",G12&lt;0,"Over-Expended",G12=0,"")</f>
        <v>#N/A</v>
      </c>
      <c r="I12" s="235"/>
      <c r="J12" s="236" t="str">
        <f>_xlfn.IFS(I12&gt;0,"Under-Expended",I12&lt;0,"Over-Expended",I12=0,"")</f>
        <v/>
      </c>
      <c r="K12" s="207"/>
    </row>
    <row r="13" spans="1:11" x14ac:dyDescent="0.3">
      <c r="B13" s="224"/>
      <c r="C13" s="224"/>
      <c r="D13" s="212"/>
      <c r="E13" s="212"/>
      <c r="F13" s="212"/>
      <c r="G13" s="212"/>
    </row>
    <row r="14" spans="1:11" x14ac:dyDescent="0.3">
      <c r="B14" s="224"/>
      <c r="C14" s="224"/>
      <c r="D14" s="212"/>
      <c r="E14" s="212"/>
      <c r="F14" s="212"/>
      <c r="G14" s="212"/>
    </row>
    <row r="15" spans="1:11" x14ac:dyDescent="0.3">
      <c r="A15" s="205">
        <v>1718</v>
      </c>
      <c r="B15" s="210">
        <v>1</v>
      </c>
      <c r="C15" s="225" t="s">
        <v>262</v>
      </c>
      <c r="D15" s="211" t="e">
        <f>VLOOKUP($B$2,JuryHD,'Lookup_OverUnderExpended_8-6-19'!$AG$1,FALSE)</f>
        <v>#N/A</v>
      </c>
      <c r="E15" s="211" t="e">
        <f>VLOOKUP($B$2,JuryHD,'Lookup_OverUnderExpended_8-6-19'!$AI$1,FALSE)</f>
        <v>#N/A</v>
      </c>
      <c r="F15" s="211" t="e">
        <f>VLOOKUP($B$2,JuryHD,'Lookup_OverUnderExpended_8-6-19'!$AJ$1,FALSE)</f>
        <v>#N/A</v>
      </c>
      <c r="G15" s="211" t="e">
        <f>E15-F15</f>
        <v>#N/A</v>
      </c>
      <c r="H15" s="205" t="e">
        <f>_xlfn.IFS(G15&gt;0,"Under-Expended",G15&lt;0,"Over-Expended",G15=0,"")</f>
        <v>#N/A</v>
      </c>
      <c r="I15" s="209" t="e">
        <f>+G15+I11</f>
        <v>#N/A</v>
      </c>
      <c r="J15" s="205" t="e">
        <f t="shared" ref="J15:J23" si="0">_xlfn.IFS(I15&gt;0,"Under-Expended",I15&lt;0,"Over-Expended",I15=0,"")</f>
        <v>#N/A</v>
      </c>
      <c r="K15" s="209"/>
    </row>
    <row r="16" spans="1:11" x14ac:dyDescent="0.3">
      <c r="A16" s="205">
        <v>1718</v>
      </c>
      <c r="B16" s="210">
        <v>2</v>
      </c>
      <c r="C16" s="225" t="s">
        <v>264</v>
      </c>
      <c r="D16" s="211" t="e">
        <f>VLOOKUP($B$2,JuryHD,'Lookup_OverUnderExpended_8-6-19'!$AL$1,FALSE)</f>
        <v>#N/A</v>
      </c>
      <c r="E16" s="211" t="e">
        <f>VLOOKUP($B$2,JuryHD,'Lookup_OverUnderExpended_8-6-19'!$AN$1,FALSE)</f>
        <v>#N/A</v>
      </c>
      <c r="F16" s="211" t="e">
        <f>VLOOKUP($B$2,JuryHD,'Lookup_OverUnderExpended_8-6-19'!$AO$1,FALSE)</f>
        <v>#N/A</v>
      </c>
      <c r="G16" s="211" t="e">
        <f>E16-F16</f>
        <v>#N/A</v>
      </c>
      <c r="H16" s="205" t="e">
        <f>_xlfn.IFS(G16&gt;0,"Under-Expended",G16&lt;0,"Over-Expended",G16=0,"")</f>
        <v>#N/A</v>
      </c>
      <c r="I16" s="209" t="e">
        <f>+G16+I15</f>
        <v>#N/A</v>
      </c>
      <c r="J16" s="205" t="e">
        <f t="shared" si="0"/>
        <v>#N/A</v>
      </c>
      <c r="K16" s="209"/>
    </row>
    <row r="17" spans="1:11" x14ac:dyDescent="0.3">
      <c r="A17" s="205">
        <v>1718</v>
      </c>
      <c r="B17" s="210">
        <v>3</v>
      </c>
      <c r="C17" s="225" t="s">
        <v>266</v>
      </c>
      <c r="D17" s="211" t="e">
        <f>VLOOKUP($B$2,JuryHD,'Lookup_OverUnderExpended_8-6-19'!$AQ$1,FALSE)</f>
        <v>#N/A</v>
      </c>
      <c r="E17" s="211" t="e">
        <f>VLOOKUP($B$2,JuryHD,'Lookup_OverUnderExpended_8-6-19'!$AS$1,FALSE)</f>
        <v>#N/A</v>
      </c>
      <c r="F17" s="211" t="e">
        <f>VLOOKUP($B$2,JuryHD,'Lookup_OverUnderExpended_8-6-19'!$AT$1,FALSE)</f>
        <v>#N/A</v>
      </c>
      <c r="G17" s="211" t="e">
        <f>E17-F17</f>
        <v>#N/A</v>
      </c>
      <c r="H17" s="205" t="e">
        <f>_xlfn.IFS(G17&gt;0,"Under-Expended",G17&lt;0,"Over-Expended",G17=0,"")</f>
        <v>#N/A</v>
      </c>
      <c r="I17" s="209" t="e">
        <f>+G17+I16</f>
        <v>#N/A</v>
      </c>
      <c r="J17" s="205" t="e">
        <f t="shared" si="0"/>
        <v>#N/A</v>
      </c>
      <c r="K17" s="209"/>
    </row>
    <row r="18" spans="1:11" x14ac:dyDescent="0.3">
      <c r="A18" s="205">
        <v>1718</v>
      </c>
      <c r="B18" s="210">
        <v>4</v>
      </c>
      <c r="C18" s="225" t="s">
        <v>260</v>
      </c>
      <c r="D18" s="211" t="e">
        <f>VLOOKUP($B$2,JuryHD,'Lookup_OverUnderExpended_8-6-19'!$AV$1,FALSE)</f>
        <v>#N/A</v>
      </c>
      <c r="E18" s="211" t="e">
        <f>VLOOKUP($B$2,JuryHD,'Lookup_OverUnderExpended_8-6-19'!$AX$1,FALSE)</f>
        <v>#N/A</v>
      </c>
      <c r="F18" s="211" t="e">
        <f>VLOOKUP($B$2,JuryHD,'Lookup_OverUnderExpended_8-6-19'!$AY$1,FALSE)</f>
        <v>#N/A</v>
      </c>
      <c r="G18" s="211" t="e">
        <f>E18-F18</f>
        <v>#N/A</v>
      </c>
      <c r="H18" s="205" t="e">
        <f>_xlfn.IFS(G18&gt;0,"Under-Expended",G18&lt;0,"Over-Expended",G18=0,"")</f>
        <v>#N/A</v>
      </c>
      <c r="I18" s="117" t="e">
        <f>+G18+I17</f>
        <v>#N/A</v>
      </c>
      <c r="J18" s="205" t="e">
        <f t="shared" si="0"/>
        <v>#N/A</v>
      </c>
      <c r="K18" s="117"/>
    </row>
    <row r="19" spans="1:11" ht="16.5" thickBot="1" x14ac:dyDescent="0.35">
      <c r="A19" s="205">
        <v>1718</v>
      </c>
      <c r="B19" s="392" t="s">
        <v>314</v>
      </c>
      <c r="C19" s="392"/>
      <c r="D19" s="208" t="e">
        <f>SUM(D15:D18)</f>
        <v>#N/A</v>
      </c>
      <c r="E19" s="208" t="e">
        <f>SUM(E15:E18)</f>
        <v>#N/A</v>
      </c>
      <c r="F19" s="208" t="e">
        <f>SUM(F15:F18)</f>
        <v>#N/A</v>
      </c>
      <c r="G19" s="208" t="e">
        <f>E19-F19</f>
        <v>#N/A</v>
      </c>
      <c r="H19" s="208" t="e">
        <f>_xlfn.IFS(G19&gt;0,"Under-Expended",G19&lt;0,"Over-Expended",G19=0,"")</f>
        <v>#N/A</v>
      </c>
      <c r="I19" s="235"/>
      <c r="J19" s="236" t="str">
        <f t="shared" si="0"/>
        <v/>
      </c>
      <c r="K19" s="207"/>
    </row>
    <row r="20" spans="1:11" x14ac:dyDescent="0.3">
      <c r="B20" s="210"/>
      <c r="C20" s="225"/>
      <c r="D20" s="212"/>
      <c r="E20" s="212"/>
      <c r="F20" s="212"/>
      <c r="G20" s="212"/>
    </row>
    <row r="21" spans="1:11" x14ac:dyDescent="0.3">
      <c r="A21" s="205">
        <v>1819</v>
      </c>
      <c r="B21" s="210">
        <v>1</v>
      </c>
      <c r="C21" s="253" t="s">
        <v>262</v>
      </c>
      <c r="D21" s="254" t="e">
        <f>VLOOKUP($B$2,JuryHD,'Lookup_OverUnderExpended_8-6-19'!$BF$1,FALSE)</f>
        <v>#N/A</v>
      </c>
      <c r="E21" s="254" t="e">
        <f>VLOOKUP($B$2,JuryHD,'Lookup_OverUnderExpended_8-6-19'!$BH$1,FALSE)</f>
        <v>#N/A</v>
      </c>
      <c r="F21" s="254" t="e">
        <f>VLOOKUP($B$2,JuryHD,'Lookup_OverUnderExpended_8-6-19'!$BI$1,FALSE)</f>
        <v>#N/A</v>
      </c>
      <c r="G21" s="254" t="e">
        <f>E21-F21</f>
        <v>#N/A</v>
      </c>
      <c r="H21" s="255" t="e">
        <f>_xlfn.IFS(G21&gt;0,"Under-Expended",G21&lt;0,"Over-Expended",G21=0,"")</f>
        <v>#N/A</v>
      </c>
      <c r="I21" s="256" t="e">
        <f>+G21+I18</f>
        <v>#N/A</v>
      </c>
      <c r="J21" s="255" t="e">
        <f t="shared" si="0"/>
        <v>#N/A</v>
      </c>
      <c r="K21" s="209"/>
    </row>
    <row r="22" spans="1:11" x14ac:dyDescent="0.3">
      <c r="A22" s="205">
        <v>1819</v>
      </c>
      <c r="B22" s="210">
        <v>2</v>
      </c>
      <c r="C22" s="253" t="s">
        <v>264</v>
      </c>
      <c r="D22" s="254" t="e">
        <f>VLOOKUP($B$2,JuryHD,'Lookup_OverUnderExpended_8-6-19'!$BK$1,FALSE)</f>
        <v>#N/A</v>
      </c>
      <c r="E22" s="254" t="e">
        <f>VLOOKUP($B$2,JuryHD,'Lookup_OverUnderExpended_8-6-19'!$BM$1,FALSE)</f>
        <v>#N/A</v>
      </c>
      <c r="F22" s="254" t="e">
        <f>VLOOKUP($B$2,JuryHD,'Lookup_OverUnderExpended_8-6-19'!$BN$1,FALSE)</f>
        <v>#N/A</v>
      </c>
      <c r="G22" s="254" t="e">
        <f>E22-F22</f>
        <v>#N/A</v>
      </c>
      <c r="H22" s="255" t="e">
        <f>_xlfn.IFS(G22&gt;0,"Under-Expended",G22&lt;0,"Over-Expended",G22=0,"")</f>
        <v>#N/A</v>
      </c>
      <c r="I22" s="260" t="e">
        <f>+G22+I21</f>
        <v>#N/A</v>
      </c>
      <c r="J22" s="263" t="e">
        <f t="shared" si="0"/>
        <v>#N/A</v>
      </c>
      <c r="K22" s="209"/>
    </row>
    <row r="23" spans="1:11" x14ac:dyDescent="0.3">
      <c r="A23" s="205">
        <v>1819</v>
      </c>
      <c r="B23" s="210">
        <v>3</v>
      </c>
      <c r="C23" s="253" t="s">
        <v>266</v>
      </c>
      <c r="D23" s="254" t="e">
        <f>VLOOKUP($B$2,JuryHD,'Lookup_OverUnderExpended_8-6-19'!$BP$1,FALSE)</f>
        <v>#N/A</v>
      </c>
      <c r="E23" s="254" t="e">
        <f>VLOOKUP($B$2,JuryHD,'Lookup_OverUnderExpended_8-6-19'!$BR$1,FALSE)</f>
        <v>#N/A</v>
      </c>
      <c r="F23" s="254" t="e">
        <f>VLOOKUP($B$2,JuryHD,'Lookup_OverUnderExpended_8-6-19'!$BS$1,FALSE)</f>
        <v>#N/A</v>
      </c>
      <c r="G23" s="254" t="e">
        <f>E23-F23</f>
        <v>#N/A</v>
      </c>
      <c r="H23" s="255" t="e">
        <f>_xlfn.IFS(G23&gt;0,"Under-Expended",G23&lt;0,"Over-Expended",G23=0,"")</f>
        <v>#N/A</v>
      </c>
      <c r="I23" s="256" t="e">
        <f>+G23+I22</f>
        <v>#N/A</v>
      </c>
      <c r="J23" s="255" t="e">
        <f t="shared" si="0"/>
        <v>#N/A</v>
      </c>
      <c r="K23" s="209"/>
    </row>
    <row r="24" spans="1:11" x14ac:dyDescent="0.3">
      <c r="A24" s="205">
        <v>1819</v>
      </c>
      <c r="B24" s="210">
        <v>4</v>
      </c>
      <c r="C24" s="253" t="s">
        <v>260</v>
      </c>
      <c r="D24" s="254" t="e">
        <f>VLOOKUP($B$2,JuryHD,'Lookup_OverUnderExpended_8-6-19'!$BU$1,FALSE)</f>
        <v>#N/A</v>
      </c>
      <c r="E24" s="254" t="e">
        <f>VLOOKUP($B$2,JuryHD,'Lookup_OverUnderExpended_8-6-19'!$BW$1,FALSE)</f>
        <v>#N/A</v>
      </c>
      <c r="F24" s="252" t="e">
        <f>VLOOKUP($B$2,JuryHD,'Lookup_OverUnderExpended_8-6-19'!$BX$1,FALSE)</f>
        <v>#N/A</v>
      </c>
      <c r="G24" s="254" t="e">
        <f>E24-F24</f>
        <v>#N/A</v>
      </c>
      <c r="H24" s="255" t="e">
        <f>_xlfn.IFS(G24&gt;0,"Under-Expended",G24&lt;0,"Over-Expended",G24=0,"")</f>
        <v>#N/A</v>
      </c>
      <c r="I24" s="256" t="e">
        <f>+G24+I23</f>
        <v>#N/A</v>
      </c>
      <c r="J24" s="255" t="e">
        <f>_xlfn.IFS(I24&gt;0,"Under-Expended",I24&lt;0,"Over-Expended",I24=0,"")</f>
        <v>#N/A</v>
      </c>
      <c r="K24" s="209"/>
    </row>
    <row r="25" spans="1:11" ht="16.5" thickBot="1" x14ac:dyDescent="0.35">
      <c r="A25" s="205">
        <v>1819</v>
      </c>
      <c r="B25" s="392" t="s">
        <v>314</v>
      </c>
      <c r="C25" s="392"/>
      <c r="D25" s="208" t="e">
        <f>SUM(D21:D24)</f>
        <v>#N/A</v>
      </c>
      <c r="E25" s="208" t="e">
        <f>SUM(E21:E24)</f>
        <v>#N/A</v>
      </c>
      <c r="F25" s="208" t="e">
        <f>SUM(F21:F24)</f>
        <v>#N/A</v>
      </c>
      <c r="G25" s="208" t="e">
        <f>E25-F25</f>
        <v>#N/A</v>
      </c>
      <c r="H25" s="208" t="e">
        <f>_xlfn.IFS(G25&gt;0,"Under-Expended",G25&lt;0,"Over-Expended",G25=0,"")</f>
        <v>#N/A</v>
      </c>
      <c r="I25" s="235"/>
      <c r="J25" s="236" t="str">
        <f>_xlfn.IFS(I25&gt;0,"Under-Expended",I25&lt;0,"Over-Expended",I25=0,"")</f>
        <v/>
      </c>
      <c r="K25" s="207"/>
    </row>
    <row r="27" spans="1:11" x14ac:dyDescent="0.3">
      <c r="A27" s="205">
        <v>1920</v>
      </c>
      <c r="B27" s="210">
        <v>1</v>
      </c>
      <c r="C27" s="253" t="s">
        <v>262</v>
      </c>
      <c r="D27" s="211" t="e">
        <f>VLOOKUP($B$2,JuryHD,'Lookup_OverUnderExpended_8-6-19'!$CE$1,FALSE)</f>
        <v>#N/A</v>
      </c>
      <c r="E27" s="211" t="e">
        <f>VLOOKUP($B$2,JuryHD,'Lookup_OverUnderExpended_8-6-19'!$CG$1,FALSE)</f>
        <v>#N/A</v>
      </c>
      <c r="F27" s="211" t="e">
        <f>VLOOKUP($B$2,JuryHD,'Lookup_OverUnderExpended_8-6-19'!$CH$1,FALSE)</f>
        <v>#N/A</v>
      </c>
      <c r="G27" s="211" t="e">
        <f>E27-F27</f>
        <v>#N/A</v>
      </c>
      <c r="H27" s="205" t="e">
        <f>_xlfn.IFS(G27&gt;0,"Under-Expended",G27&lt;0,"Over-Expended",G27=0,"")</f>
        <v>#N/A</v>
      </c>
      <c r="I27" s="209" t="e">
        <f>+G27+I24</f>
        <v>#N/A</v>
      </c>
      <c r="J27" s="205" t="e">
        <f t="shared" ref="J27:J29" si="1">_xlfn.IFS(I27&gt;0,"Under-Expended",I27&lt;0,"Over-Expended",I27=0,"")</f>
        <v>#N/A</v>
      </c>
    </row>
    <row r="28" spans="1:11" x14ac:dyDescent="0.3">
      <c r="A28" s="205">
        <v>1920</v>
      </c>
      <c r="B28" s="210">
        <v>2</v>
      </c>
      <c r="C28" s="253" t="s">
        <v>264</v>
      </c>
      <c r="D28" s="211" t="e">
        <f>VLOOKUP($B$2,JuryHD,'Lookup_OverUnderExpended_8-6-19'!$CJ$1,FALSE)</f>
        <v>#N/A</v>
      </c>
      <c r="E28" s="211" t="e">
        <f>VLOOKUP($B$2,JuryHD,'Lookup_OverUnderExpended_8-6-19'!$CL$1,FALSE)</f>
        <v>#N/A</v>
      </c>
      <c r="F28" s="211" t="e">
        <f>VLOOKUP($B$2,JuryHD,'Lookup_OverUnderExpended_8-6-19'!$CM$1,FALSE)</f>
        <v>#N/A</v>
      </c>
      <c r="G28" s="211" t="e">
        <f>E28-F28</f>
        <v>#N/A</v>
      </c>
      <c r="H28" s="205" t="e">
        <f>_xlfn.IFS(G28&gt;0,"Under-Expended",G28&lt;0,"Over-Expended",G28=0,"")</f>
        <v>#N/A</v>
      </c>
      <c r="I28" s="209" t="e">
        <f>+G28+I27</f>
        <v>#N/A</v>
      </c>
      <c r="J28" s="205" t="e">
        <f t="shared" si="1"/>
        <v>#N/A</v>
      </c>
    </row>
    <row r="29" spans="1:11" x14ac:dyDescent="0.3">
      <c r="A29" s="205">
        <v>1920</v>
      </c>
      <c r="B29" s="210">
        <v>3</v>
      </c>
      <c r="C29" s="253" t="s">
        <v>266</v>
      </c>
      <c r="D29" s="211" t="e">
        <f>VLOOKUP($B$2,JuryHD,'Lookup_OverUnderExpended_8-6-19'!$CO$1,FALSE)</f>
        <v>#N/A</v>
      </c>
      <c r="E29" s="211" t="e">
        <f>VLOOKUP($B$2,JuryHD,'Lookup_OverUnderExpended_8-6-19'!$CQ$1,FALSE)</f>
        <v>#N/A</v>
      </c>
      <c r="F29" s="211" t="e">
        <f>VLOOKUP($B$2,JuryHD,'Lookup_OverUnderExpended_8-6-19'!$CR$1,FALSE)</f>
        <v>#N/A</v>
      </c>
      <c r="G29" s="211" t="e">
        <f>E29-F29</f>
        <v>#N/A</v>
      </c>
      <c r="H29" s="205" t="e">
        <f>_xlfn.IFS(G29&gt;0,"Under-Expended",G29&lt;0,"Over-Expended",G29=0,"")</f>
        <v>#N/A</v>
      </c>
      <c r="I29" s="209" t="e">
        <f>+G29+I28</f>
        <v>#N/A</v>
      </c>
      <c r="J29" s="205" t="e">
        <f t="shared" si="1"/>
        <v>#N/A</v>
      </c>
    </row>
    <row r="30" spans="1:11" x14ac:dyDescent="0.3">
      <c r="A30" s="205">
        <v>1920</v>
      </c>
      <c r="B30" s="210">
        <v>4</v>
      </c>
      <c r="C30" s="253" t="s">
        <v>260</v>
      </c>
      <c r="D30" s="211" t="e">
        <f>VLOOKUP($B$2,JuryHD,'Lookup_OverUnderExpended_8-6-19'!$CT$1,FALSE)</f>
        <v>#N/A</v>
      </c>
      <c r="E30" s="211" t="e">
        <f>VLOOKUP($B$2,JuryHD,'Lookup_OverUnderExpended_8-6-19'!$CV$1,FALSE)</f>
        <v>#N/A</v>
      </c>
      <c r="F30" s="211" t="e">
        <f>VLOOKUP($B$2,JuryHD,'Lookup_OverUnderExpended_8-6-19'!$CW$1,FALSE)</f>
        <v>#N/A</v>
      </c>
      <c r="G30" s="211" t="e">
        <f>E30-F30</f>
        <v>#N/A</v>
      </c>
      <c r="H30" s="205" t="e">
        <f>_xlfn.IFS(G30&gt;0,"Under-Expended",G30&lt;0,"Over-Expended",G30=0,"")</f>
        <v>#N/A</v>
      </c>
      <c r="I30" s="117" t="e">
        <f>+G30+I29</f>
        <v>#N/A</v>
      </c>
      <c r="J30" s="205" t="e">
        <f>_xlfn.IFS(I30&gt;0,"Under-Expended",I30&lt;0,"Over-Expended",I30=0,"")</f>
        <v>#N/A</v>
      </c>
    </row>
    <row r="31" spans="1:11" ht="16.5" thickBot="1" x14ac:dyDescent="0.35">
      <c r="A31" s="205">
        <v>1920</v>
      </c>
      <c r="B31" s="392" t="s">
        <v>314</v>
      </c>
      <c r="C31" s="392"/>
      <c r="D31" s="208" t="e">
        <f>SUM(D27:D30)</f>
        <v>#N/A</v>
      </c>
      <c r="E31" s="208" t="e">
        <f>SUM(E27:E30)</f>
        <v>#N/A</v>
      </c>
      <c r="F31" s="208" t="e">
        <f>SUM(F27:F30)</f>
        <v>#N/A</v>
      </c>
      <c r="G31" s="208" t="e">
        <f>E31-F31</f>
        <v>#N/A</v>
      </c>
      <c r="H31" s="208" t="e">
        <f>_xlfn.IFS(G31&gt;0,"Under-Expended",G31&lt;0,"Over-Expended",G31=0,"")</f>
        <v>#N/A</v>
      </c>
      <c r="I31" s="235"/>
      <c r="J31" s="236" t="str">
        <f>_xlfn.IFS(I31&gt;0,"Under-Expended",I31&lt;0,"Over-Expended",I31=0,"")</f>
        <v/>
      </c>
    </row>
    <row r="33" spans="1:3" ht="16.5" thickBot="1" x14ac:dyDescent="0.35"/>
    <row r="34" spans="1:3" x14ac:dyDescent="0.3">
      <c r="A34" s="376" t="s">
        <v>309</v>
      </c>
      <c r="B34" s="393"/>
      <c r="C34" s="377"/>
    </row>
    <row r="35" spans="1:3" x14ac:dyDescent="0.3">
      <c r="A35" s="206"/>
      <c r="B35" s="390" t="s">
        <v>313</v>
      </c>
      <c r="C35" s="391"/>
    </row>
    <row r="36" spans="1:3" x14ac:dyDescent="0.3">
      <c r="A36" s="237"/>
      <c r="B36" s="390" t="s">
        <v>327</v>
      </c>
      <c r="C36" s="391"/>
    </row>
    <row r="37" spans="1:3" x14ac:dyDescent="0.3">
      <c r="A37" s="261"/>
      <c r="B37" s="390" t="s">
        <v>336</v>
      </c>
      <c r="C37" s="391"/>
    </row>
    <row r="38" spans="1:3" ht="16.5" thickBot="1" x14ac:dyDescent="0.35">
      <c r="A38" s="262"/>
      <c r="B38" s="388" t="s">
        <v>341</v>
      </c>
      <c r="C38" s="389"/>
    </row>
  </sheetData>
  <mergeCells count="10">
    <mergeCell ref="B38:C38"/>
    <mergeCell ref="B37:C37"/>
    <mergeCell ref="B36:C36"/>
    <mergeCell ref="B5:C5"/>
    <mergeCell ref="B12:C12"/>
    <mergeCell ref="B19:C19"/>
    <mergeCell ref="B25:C25"/>
    <mergeCell ref="A34:C34"/>
    <mergeCell ref="B35:C35"/>
    <mergeCell ref="B31:C31"/>
  </mergeCells>
  <pageMargins left="0.7" right="0.7" top="0.75" bottom="0.75" header="0.3" footer="0.3"/>
  <pageSetup paperSize="3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68"/>
  <sheetViews>
    <sheetView workbookViewId="0">
      <pane xSplit="8" ySplit="1" topLeftCell="I31" activePane="bottomRight" state="frozen"/>
      <selection pane="topRight" activeCell="D1" sqref="D1"/>
      <selection pane="bottomLeft" activeCell="A3" sqref="A3"/>
      <selection pane="bottomRight" activeCell="E9" sqref="E9"/>
    </sheetView>
  </sheetViews>
  <sheetFormatPr defaultColWidth="8.88671875" defaultRowHeight="12.75" x14ac:dyDescent="0.3"/>
  <cols>
    <col min="1" max="1" width="9.6640625" style="328" bestFit="1" customWidth="1"/>
    <col min="2" max="2" width="12.44140625" style="320" bestFit="1" customWidth="1"/>
    <col min="3" max="5" width="8.88671875" style="320"/>
    <col min="6" max="6" width="5.77734375" style="320" bestFit="1" customWidth="1"/>
    <col min="7" max="7" width="8.88671875" style="320"/>
    <col min="8" max="8" width="13" style="320" bestFit="1" customWidth="1"/>
    <col min="9" max="9" width="13" style="320" customWidth="1"/>
    <col min="10" max="10" width="20" style="320" bestFit="1" customWidth="1"/>
    <col min="11" max="11" width="13" style="320" customWidth="1"/>
    <col min="12" max="12" width="18.21875" style="320" bestFit="1" customWidth="1"/>
    <col min="13" max="13" width="34.77734375" style="320" bestFit="1" customWidth="1"/>
    <col min="14" max="14" width="4.88671875" style="320" bestFit="1" customWidth="1"/>
    <col min="15" max="15" width="13" style="320" bestFit="1" customWidth="1"/>
    <col min="16" max="16" width="11.44140625" style="320" customWidth="1"/>
    <col min="17" max="17" width="10.88671875" style="320" bestFit="1" customWidth="1"/>
    <col min="18" max="19" width="10.33203125" style="320" bestFit="1" customWidth="1"/>
    <col min="20" max="21" width="9.44140625" style="320" bestFit="1" customWidth="1"/>
    <col min="22" max="22" width="10.33203125" style="320" customWidth="1"/>
    <col min="23" max="16384" width="8.88671875" style="320"/>
  </cols>
  <sheetData>
    <row r="1" spans="1:17" s="321" customFormat="1" ht="27" x14ac:dyDescent="0.3">
      <c r="A1" s="326" t="s">
        <v>104</v>
      </c>
      <c r="B1" s="319" t="s">
        <v>105</v>
      </c>
      <c r="C1" s="319" t="s">
        <v>106</v>
      </c>
      <c r="D1" s="319" t="s">
        <v>107</v>
      </c>
      <c r="E1" s="319" t="s">
        <v>108</v>
      </c>
      <c r="F1" s="319" t="s">
        <v>114</v>
      </c>
      <c r="G1" s="319" t="s">
        <v>115</v>
      </c>
      <c r="H1" s="319" t="s">
        <v>116</v>
      </c>
      <c r="I1" s="319" t="s">
        <v>214</v>
      </c>
      <c r="J1" s="319" t="s">
        <v>213</v>
      </c>
      <c r="K1" s="319" t="s">
        <v>220</v>
      </c>
      <c r="L1" s="319" t="s">
        <v>221</v>
      </c>
      <c r="M1" s="319" t="s">
        <v>225</v>
      </c>
      <c r="N1" s="319" t="s">
        <v>115</v>
      </c>
      <c r="O1" s="319" t="s">
        <v>190</v>
      </c>
      <c r="P1" s="319" t="s">
        <v>147</v>
      </c>
      <c r="Q1" s="319" t="s">
        <v>159</v>
      </c>
    </row>
    <row r="2" spans="1:17" ht="27" x14ac:dyDescent="0.3">
      <c r="A2" s="327">
        <v>1</v>
      </c>
      <c r="B2" s="322">
        <v>1</v>
      </c>
      <c r="C2" s="322" t="s">
        <v>16</v>
      </c>
      <c r="D2" s="322" t="s">
        <v>16</v>
      </c>
      <c r="E2" s="322" t="s">
        <v>16</v>
      </c>
      <c r="F2" s="322">
        <v>1</v>
      </c>
      <c r="G2" s="322" t="s">
        <v>83</v>
      </c>
      <c r="H2" s="322" t="s">
        <v>209</v>
      </c>
      <c r="I2" s="322" t="s">
        <v>216</v>
      </c>
      <c r="J2" s="323" t="str">
        <f>" SFY 19/20: Q1 "&amp;H2&amp;CHAR(10)&amp;" CFY 18/19: Q4 "&amp;H2</f>
        <v xml:space="preserve"> SFY 19/20: Q1 Jul - Aug - Sep
 CFY 18/19: Q4 Jul - Aug - Sep</v>
      </c>
      <c r="K2" s="322" t="s">
        <v>212</v>
      </c>
      <c r="L2" s="322" t="s">
        <v>198</v>
      </c>
      <c r="M2" s="322" t="s">
        <v>247</v>
      </c>
      <c r="N2" s="320" t="s">
        <v>148</v>
      </c>
      <c r="O2" s="322" t="s">
        <v>186</v>
      </c>
      <c r="P2" s="322" t="s">
        <v>285</v>
      </c>
      <c r="Q2" s="320" t="str">
        <f>RIGHT(P2,4)</f>
        <v>Qtr2</v>
      </c>
    </row>
    <row r="3" spans="1:17" ht="27" x14ac:dyDescent="0.3">
      <c r="A3" s="327">
        <v>2</v>
      </c>
      <c r="B3" s="322">
        <v>1</v>
      </c>
      <c r="C3" s="322" t="s">
        <v>17</v>
      </c>
      <c r="D3" s="322" t="s">
        <v>17</v>
      </c>
      <c r="E3" s="322" t="s">
        <v>17</v>
      </c>
      <c r="F3" s="322">
        <v>2</v>
      </c>
      <c r="G3" s="322" t="s">
        <v>84</v>
      </c>
      <c r="H3" s="322" t="s">
        <v>210</v>
      </c>
      <c r="I3" s="322" t="s">
        <v>217</v>
      </c>
      <c r="J3" s="323" t="str">
        <f>" SFY 19/20: Q2 "&amp;H3&amp;CHAR(10)&amp;" CFY 19/20: Q1 "&amp;H3</f>
        <v xml:space="preserve"> SFY 19/20: Q2 Oct - Nov - Dec
 CFY 19/20: Q1 Oct - Nov - Dec</v>
      </c>
      <c r="K3" s="322" t="s">
        <v>209</v>
      </c>
      <c r="L3" s="322" t="s">
        <v>222</v>
      </c>
      <c r="M3" s="322" t="s">
        <v>244</v>
      </c>
      <c r="N3" s="320" t="s">
        <v>149</v>
      </c>
      <c r="O3" s="322" t="s">
        <v>186</v>
      </c>
      <c r="P3" s="322" t="s">
        <v>285</v>
      </c>
      <c r="Q3" s="320" t="str">
        <f t="shared" ref="Q3:Q13" si="0">RIGHT(P3,4)</f>
        <v>Qtr2</v>
      </c>
    </row>
    <row r="4" spans="1:17" ht="27" x14ac:dyDescent="0.3">
      <c r="A4" s="327">
        <v>3</v>
      </c>
      <c r="B4" s="322">
        <v>1</v>
      </c>
      <c r="C4" s="322" t="s">
        <v>18</v>
      </c>
      <c r="D4" s="322" t="s">
        <v>18</v>
      </c>
      <c r="E4" s="322" t="s">
        <v>18</v>
      </c>
      <c r="F4" s="322">
        <v>3</v>
      </c>
      <c r="G4" s="322" t="s">
        <v>85</v>
      </c>
      <c r="H4" s="322" t="s">
        <v>211</v>
      </c>
      <c r="I4" s="322" t="s">
        <v>218</v>
      </c>
      <c r="J4" s="323" t="str">
        <f>" SFY 19/20: Q3 "&amp;H4&amp;CHAR(10)&amp;" CFY 19/20: Q2 "&amp;H4</f>
        <v xml:space="preserve"> SFY 19/20: Q3 Jan - Feb - Mar
 CFY 19/20: Q2 Jan - Feb - Mar</v>
      </c>
      <c r="K4" s="322" t="s">
        <v>210</v>
      </c>
      <c r="L4" s="322" t="s">
        <v>223</v>
      </c>
      <c r="M4" s="322" t="s">
        <v>245</v>
      </c>
      <c r="N4" s="320" t="s">
        <v>150</v>
      </c>
      <c r="O4" s="322" t="s">
        <v>186</v>
      </c>
      <c r="P4" s="322" t="s">
        <v>285</v>
      </c>
      <c r="Q4" s="320" t="str">
        <f t="shared" si="0"/>
        <v>Qtr2</v>
      </c>
    </row>
    <row r="5" spans="1:17" ht="27" x14ac:dyDescent="0.3">
      <c r="A5" s="327">
        <v>4</v>
      </c>
      <c r="B5" s="322">
        <v>1</v>
      </c>
      <c r="C5" s="322" t="s">
        <v>81</v>
      </c>
      <c r="D5" s="322" t="s">
        <v>81</v>
      </c>
      <c r="E5" s="322" t="s">
        <v>81</v>
      </c>
      <c r="F5" s="322">
        <v>4</v>
      </c>
      <c r="G5" s="322" t="s">
        <v>86</v>
      </c>
      <c r="H5" s="322" t="s">
        <v>212</v>
      </c>
      <c r="I5" s="322" t="s">
        <v>219</v>
      </c>
      <c r="J5" s="323" t="str">
        <f>" SFY 19/20: Q3 "&amp;H5&amp;CHAR(10)&amp;" CFY 19/20: Q4 "&amp;H5</f>
        <v xml:space="preserve"> SFY 19/20: Q3 Apr - May - Jun
 CFY 19/20: Q4 Apr - May - Jun</v>
      </c>
      <c r="K5" s="322" t="s">
        <v>211</v>
      </c>
      <c r="L5" s="322" t="s">
        <v>224</v>
      </c>
      <c r="M5" s="322" t="s">
        <v>246</v>
      </c>
      <c r="N5" s="320" t="s">
        <v>151</v>
      </c>
      <c r="O5" s="322" t="s">
        <v>187</v>
      </c>
      <c r="P5" s="322" t="s">
        <v>286</v>
      </c>
      <c r="Q5" s="320" t="str">
        <f t="shared" si="0"/>
        <v>Qtr3</v>
      </c>
    </row>
    <row r="6" spans="1:17" ht="13.5" x14ac:dyDescent="0.3">
      <c r="A6" s="327">
        <v>5</v>
      </c>
      <c r="B6" s="322">
        <v>1</v>
      </c>
      <c r="C6" s="322" t="s">
        <v>19</v>
      </c>
      <c r="D6" s="322" t="s">
        <v>19</v>
      </c>
      <c r="E6" s="322" t="s">
        <v>19</v>
      </c>
      <c r="F6" s="322">
        <v>5</v>
      </c>
      <c r="G6" s="322" t="s">
        <v>87</v>
      </c>
      <c r="H6" s="322"/>
      <c r="I6" s="322"/>
      <c r="J6" s="322"/>
      <c r="K6" s="322"/>
      <c r="L6" s="322"/>
      <c r="M6" s="322"/>
      <c r="N6" s="320" t="s">
        <v>152</v>
      </c>
      <c r="O6" s="322" t="s">
        <v>187</v>
      </c>
      <c r="P6" s="322" t="s">
        <v>286</v>
      </c>
      <c r="Q6" s="320" t="str">
        <f t="shared" si="0"/>
        <v>Qtr3</v>
      </c>
    </row>
    <row r="7" spans="1:17" ht="13.5" x14ac:dyDescent="0.3">
      <c r="A7" s="327">
        <v>6</v>
      </c>
      <c r="B7" s="322">
        <v>1</v>
      </c>
      <c r="C7" s="322" t="s">
        <v>20</v>
      </c>
      <c r="D7" s="322" t="s">
        <v>20</v>
      </c>
      <c r="E7" s="322" t="s">
        <v>20</v>
      </c>
      <c r="F7" s="322">
        <v>6</v>
      </c>
      <c r="G7" s="322" t="s">
        <v>88</v>
      </c>
      <c r="H7" s="322"/>
      <c r="I7" s="322"/>
      <c r="J7" s="322"/>
      <c r="K7" s="322"/>
      <c r="L7" s="322"/>
      <c r="M7" s="322"/>
      <c r="N7" s="320" t="s">
        <v>153</v>
      </c>
      <c r="O7" s="322" t="s">
        <v>187</v>
      </c>
      <c r="P7" s="322" t="s">
        <v>286</v>
      </c>
      <c r="Q7" s="320" t="str">
        <f t="shared" si="0"/>
        <v>Qtr3</v>
      </c>
    </row>
    <row r="8" spans="1:17" ht="16.5" x14ac:dyDescent="0.3">
      <c r="A8" s="327">
        <v>7</v>
      </c>
      <c r="B8" s="322">
        <v>1</v>
      </c>
      <c r="C8" s="322" t="s">
        <v>21</v>
      </c>
      <c r="D8" s="322" t="s">
        <v>21</v>
      </c>
      <c r="E8" s="322" t="s">
        <v>21</v>
      </c>
      <c r="F8" s="322">
        <v>7</v>
      </c>
      <c r="G8" s="322" t="s">
        <v>89</v>
      </c>
      <c r="H8" s="324"/>
      <c r="I8" s="322"/>
      <c r="J8" s="322"/>
      <c r="K8" s="322"/>
      <c r="L8" s="322"/>
      <c r="M8" s="322"/>
      <c r="N8" s="320" t="s">
        <v>154</v>
      </c>
      <c r="O8" s="322" t="s">
        <v>188</v>
      </c>
      <c r="P8" s="322" t="s">
        <v>287</v>
      </c>
      <c r="Q8" s="320" t="str">
        <f t="shared" si="0"/>
        <v>Qtr4</v>
      </c>
    </row>
    <row r="9" spans="1:17" ht="13.5" x14ac:dyDescent="0.3">
      <c r="A9" s="327">
        <v>8</v>
      </c>
      <c r="B9" s="322">
        <v>1</v>
      </c>
      <c r="C9" s="322" t="s">
        <v>22</v>
      </c>
      <c r="D9" s="322" t="s">
        <v>22</v>
      </c>
      <c r="E9" s="322" t="s">
        <v>22</v>
      </c>
      <c r="F9" s="322">
        <v>8</v>
      </c>
      <c r="G9" s="322" t="s">
        <v>90</v>
      </c>
      <c r="I9" s="322"/>
      <c r="J9" s="322"/>
      <c r="K9" s="322"/>
      <c r="L9" s="322"/>
      <c r="M9" s="322"/>
      <c r="N9" s="320" t="s">
        <v>90</v>
      </c>
      <c r="O9" s="322" t="s">
        <v>188</v>
      </c>
      <c r="P9" s="322" t="s">
        <v>287</v>
      </c>
      <c r="Q9" s="320" t="str">
        <f t="shared" si="0"/>
        <v>Qtr4</v>
      </c>
    </row>
    <row r="10" spans="1:17" ht="13.5" x14ac:dyDescent="0.3">
      <c r="A10" s="327">
        <v>9</v>
      </c>
      <c r="B10" s="322">
        <v>1</v>
      </c>
      <c r="C10" s="322" t="s">
        <v>23</v>
      </c>
      <c r="D10" s="322" t="s">
        <v>23</v>
      </c>
      <c r="E10" s="322" t="s">
        <v>23</v>
      </c>
      <c r="F10" s="322">
        <v>9</v>
      </c>
      <c r="G10" s="322" t="s">
        <v>91</v>
      </c>
      <c r="H10" s="322"/>
      <c r="I10" s="322"/>
      <c r="J10" s="322"/>
      <c r="K10" s="322"/>
      <c r="L10" s="322"/>
      <c r="M10" s="322"/>
      <c r="N10" s="320" t="s">
        <v>155</v>
      </c>
      <c r="O10" s="322" t="s">
        <v>188</v>
      </c>
      <c r="P10" s="322" t="s">
        <v>287</v>
      </c>
      <c r="Q10" s="320" t="str">
        <f t="shared" si="0"/>
        <v>Qtr4</v>
      </c>
    </row>
    <row r="11" spans="1:17" ht="13.5" x14ac:dyDescent="0.3">
      <c r="A11" s="327">
        <v>10</v>
      </c>
      <c r="B11" s="322">
        <v>1</v>
      </c>
      <c r="C11" s="322" t="s">
        <v>24</v>
      </c>
      <c r="D11" s="322" t="s">
        <v>24</v>
      </c>
      <c r="E11" s="322" t="s">
        <v>24</v>
      </c>
      <c r="F11" s="322">
        <v>10</v>
      </c>
      <c r="G11" s="322" t="s">
        <v>92</v>
      </c>
      <c r="H11" s="322"/>
      <c r="I11" s="322"/>
      <c r="J11" s="322"/>
      <c r="K11" s="322"/>
      <c r="L11" s="322"/>
      <c r="M11" s="322"/>
      <c r="N11" s="320" t="s">
        <v>156</v>
      </c>
      <c r="O11" s="322" t="s">
        <v>189</v>
      </c>
      <c r="P11" s="322" t="s">
        <v>284</v>
      </c>
      <c r="Q11" s="320" t="str">
        <f t="shared" si="0"/>
        <v>Qtr1</v>
      </c>
    </row>
    <row r="12" spans="1:17" ht="13.5" x14ac:dyDescent="0.3">
      <c r="A12" s="327">
        <v>11</v>
      </c>
      <c r="B12" s="322">
        <v>1</v>
      </c>
      <c r="C12" s="322" t="s">
        <v>25</v>
      </c>
      <c r="D12" s="322" t="s">
        <v>25</v>
      </c>
      <c r="E12" s="322" t="s">
        <v>25</v>
      </c>
      <c r="F12" s="322"/>
      <c r="G12" s="322" t="s">
        <v>93</v>
      </c>
      <c r="H12" s="322"/>
      <c r="I12" s="322"/>
      <c r="J12" s="322"/>
      <c r="K12" s="322"/>
      <c r="L12" s="322"/>
      <c r="M12" s="322"/>
      <c r="N12" s="320" t="s">
        <v>157</v>
      </c>
      <c r="O12" s="322" t="s">
        <v>189</v>
      </c>
      <c r="P12" s="322" t="s">
        <v>284</v>
      </c>
      <c r="Q12" s="320" t="str">
        <f t="shared" si="0"/>
        <v>Qtr1</v>
      </c>
    </row>
    <row r="13" spans="1:17" ht="13.5" x14ac:dyDescent="0.3">
      <c r="A13" s="327">
        <v>12</v>
      </c>
      <c r="B13" s="322">
        <v>1</v>
      </c>
      <c r="C13" s="322" t="s">
        <v>26</v>
      </c>
      <c r="D13" s="322" t="s">
        <v>26</v>
      </c>
      <c r="E13" s="322" t="s">
        <v>26</v>
      </c>
      <c r="F13" s="322"/>
      <c r="G13" s="322" t="s">
        <v>94</v>
      </c>
      <c r="H13" s="322"/>
      <c r="I13" s="322"/>
      <c r="J13" s="322"/>
      <c r="K13" s="322"/>
      <c r="L13" s="322"/>
      <c r="M13" s="322"/>
      <c r="N13" s="320" t="s">
        <v>158</v>
      </c>
      <c r="O13" s="322" t="s">
        <v>189</v>
      </c>
      <c r="P13" s="322" t="s">
        <v>284</v>
      </c>
      <c r="Q13" s="320" t="str">
        <f t="shared" si="0"/>
        <v>Qtr1</v>
      </c>
    </row>
    <row r="14" spans="1:17" ht="13.5" x14ac:dyDescent="0.3">
      <c r="A14" s="327">
        <v>14</v>
      </c>
      <c r="B14" s="322">
        <v>1</v>
      </c>
      <c r="C14" s="322" t="s">
        <v>27</v>
      </c>
      <c r="D14" s="322" t="s">
        <v>27</v>
      </c>
      <c r="E14" s="322" t="s">
        <v>193</v>
      </c>
      <c r="F14" s="322"/>
      <c r="G14" s="322"/>
      <c r="H14" s="322"/>
      <c r="I14" s="322"/>
      <c r="J14" s="322"/>
      <c r="K14" s="322"/>
      <c r="L14" s="322"/>
      <c r="M14" s="322"/>
      <c r="N14" s="322"/>
      <c r="O14" s="322"/>
    </row>
    <row r="15" spans="1:17" ht="13.5" x14ac:dyDescent="0.3">
      <c r="A15" s="327">
        <v>15</v>
      </c>
      <c r="B15" s="322">
        <v>1</v>
      </c>
      <c r="C15" s="322" t="s">
        <v>28</v>
      </c>
      <c r="D15" s="322" t="s">
        <v>28</v>
      </c>
      <c r="E15" s="322" t="s">
        <v>28</v>
      </c>
      <c r="F15" s="322"/>
      <c r="G15" s="322"/>
      <c r="H15" s="322"/>
      <c r="I15" s="322"/>
      <c r="J15" s="322"/>
      <c r="K15" s="322"/>
      <c r="L15" s="322"/>
      <c r="M15" s="322"/>
      <c r="N15" s="322"/>
      <c r="O15" s="322"/>
    </row>
    <row r="16" spans="1:17" ht="13.5" x14ac:dyDescent="0.3">
      <c r="A16" s="327">
        <v>16</v>
      </c>
      <c r="B16" s="322">
        <v>1</v>
      </c>
      <c r="C16" s="322" t="s">
        <v>29</v>
      </c>
      <c r="D16" s="322" t="s">
        <v>29</v>
      </c>
      <c r="E16" s="322" t="s">
        <v>29</v>
      </c>
      <c r="F16" s="322"/>
      <c r="G16" s="322"/>
      <c r="H16" s="322"/>
      <c r="I16" s="322"/>
      <c r="J16" s="322"/>
      <c r="K16" s="322"/>
      <c r="L16" s="322"/>
      <c r="M16" s="322"/>
      <c r="N16" s="322"/>
      <c r="O16" s="322"/>
    </row>
    <row r="17" spans="1:14" ht="15.75" x14ac:dyDescent="0.3">
      <c r="A17" s="327">
        <v>17</v>
      </c>
      <c r="B17" s="322">
        <v>1</v>
      </c>
      <c r="C17" s="322" t="s">
        <v>30</v>
      </c>
      <c r="D17" s="322" t="s">
        <v>30</v>
      </c>
      <c r="E17" s="322" t="s">
        <v>30</v>
      </c>
      <c r="H17" s="325"/>
      <c r="I17" s="325"/>
      <c r="J17" s="325"/>
      <c r="K17" s="325"/>
      <c r="L17" s="325"/>
      <c r="M17" s="325"/>
      <c r="N17" s="325"/>
    </row>
    <row r="18" spans="1:14" ht="13.5" x14ac:dyDescent="0.3">
      <c r="A18" s="327">
        <v>18</v>
      </c>
      <c r="B18" s="322">
        <v>1</v>
      </c>
      <c r="C18" s="322" t="s">
        <v>31</v>
      </c>
      <c r="D18" s="322" t="s">
        <v>31</v>
      </c>
      <c r="E18" s="322" t="s">
        <v>31</v>
      </c>
    </row>
    <row r="19" spans="1:14" ht="13.5" x14ac:dyDescent="0.3">
      <c r="A19" s="327">
        <v>19</v>
      </c>
      <c r="B19" s="322">
        <v>1</v>
      </c>
      <c r="C19" s="322" t="s">
        <v>32</v>
      </c>
      <c r="D19" s="322" t="s">
        <v>32</v>
      </c>
      <c r="E19" s="322" t="s">
        <v>32</v>
      </c>
    </row>
    <row r="20" spans="1:14" ht="13.5" x14ac:dyDescent="0.3">
      <c r="A20" s="327">
        <v>20</v>
      </c>
      <c r="B20" s="322">
        <v>1</v>
      </c>
      <c r="C20" s="322" t="s">
        <v>33</v>
      </c>
      <c r="D20" s="322" t="s">
        <v>33</v>
      </c>
      <c r="E20" s="322" t="s">
        <v>33</v>
      </c>
    </row>
    <row r="21" spans="1:14" ht="13.5" x14ac:dyDescent="0.3">
      <c r="A21" s="327">
        <v>21</v>
      </c>
      <c r="B21" s="322">
        <v>1</v>
      </c>
      <c r="C21" s="322" t="s">
        <v>34</v>
      </c>
      <c r="D21" s="322" t="s">
        <v>34</v>
      </c>
      <c r="E21" s="322" t="s">
        <v>34</v>
      </c>
    </row>
    <row r="22" spans="1:14" ht="13.5" x14ac:dyDescent="0.3">
      <c r="A22" s="327">
        <v>22</v>
      </c>
      <c r="B22" s="322">
        <v>1</v>
      </c>
      <c r="C22" s="322" t="s">
        <v>35</v>
      </c>
      <c r="D22" s="322" t="s">
        <v>35</v>
      </c>
      <c r="E22" s="322" t="s">
        <v>35</v>
      </c>
    </row>
    <row r="23" spans="1:14" ht="13.5" x14ac:dyDescent="0.3">
      <c r="A23" s="327">
        <v>23</v>
      </c>
      <c r="B23" s="322">
        <v>1</v>
      </c>
      <c r="C23" s="322" t="s">
        <v>36</v>
      </c>
      <c r="D23" s="322" t="s">
        <v>36</v>
      </c>
      <c r="E23" s="322" t="s">
        <v>36</v>
      </c>
    </row>
    <row r="24" spans="1:14" ht="13.5" x14ac:dyDescent="0.3">
      <c r="A24" s="327">
        <v>24</v>
      </c>
      <c r="B24" s="322">
        <v>1</v>
      </c>
      <c r="C24" s="322" t="s">
        <v>37</v>
      </c>
      <c r="D24" s="322" t="s">
        <v>37</v>
      </c>
      <c r="E24" s="322" t="s">
        <v>37</v>
      </c>
    </row>
    <row r="25" spans="1:14" ht="13.5" x14ac:dyDescent="0.3">
      <c r="A25" s="327">
        <v>25</v>
      </c>
      <c r="B25" s="322">
        <v>1</v>
      </c>
      <c r="C25" s="322" t="s">
        <v>38</v>
      </c>
      <c r="D25" s="322" t="s">
        <v>38</v>
      </c>
      <c r="E25" s="322" t="s">
        <v>38</v>
      </c>
    </row>
    <row r="26" spans="1:14" ht="13.5" x14ac:dyDescent="0.3">
      <c r="A26" s="327">
        <v>26</v>
      </c>
      <c r="B26" s="322">
        <v>1</v>
      </c>
      <c r="C26" s="322" t="s">
        <v>39</v>
      </c>
      <c r="D26" s="322" t="s">
        <v>39</v>
      </c>
      <c r="E26" s="322" t="s">
        <v>39</v>
      </c>
    </row>
    <row r="27" spans="1:14" ht="13.5" x14ac:dyDescent="0.3">
      <c r="A27" s="327">
        <v>27</v>
      </c>
      <c r="B27" s="322">
        <v>1</v>
      </c>
      <c r="C27" s="322" t="s">
        <v>40</v>
      </c>
      <c r="D27" s="322" t="s">
        <v>40</v>
      </c>
      <c r="E27" s="322" t="s">
        <v>40</v>
      </c>
    </row>
    <row r="28" spans="1:14" ht="13.5" x14ac:dyDescent="0.3">
      <c r="A28" s="327">
        <v>28</v>
      </c>
      <c r="B28" s="322">
        <v>1</v>
      </c>
      <c r="C28" s="322" t="s">
        <v>41</v>
      </c>
      <c r="D28" s="322" t="s">
        <v>41</v>
      </c>
      <c r="E28" s="322" t="s">
        <v>41</v>
      </c>
    </row>
    <row r="29" spans="1:14" ht="13.5" x14ac:dyDescent="0.3">
      <c r="A29" s="327">
        <v>29</v>
      </c>
      <c r="B29" s="322">
        <v>1</v>
      </c>
      <c r="C29" s="322" t="s">
        <v>42</v>
      </c>
      <c r="D29" s="322" t="s">
        <v>42</v>
      </c>
      <c r="E29" s="322" t="s">
        <v>42</v>
      </c>
    </row>
    <row r="30" spans="1:14" ht="13.5" x14ac:dyDescent="0.3">
      <c r="A30" s="327">
        <v>30</v>
      </c>
      <c r="B30" s="322">
        <v>1</v>
      </c>
      <c r="C30" s="322" t="s">
        <v>43</v>
      </c>
      <c r="D30" s="322" t="s">
        <v>43</v>
      </c>
      <c r="E30" s="322" t="s">
        <v>43</v>
      </c>
    </row>
    <row r="31" spans="1:14" ht="13.5" x14ac:dyDescent="0.3">
      <c r="A31" s="327">
        <v>31</v>
      </c>
      <c r="B31" s="322">
        <v>1</v>
      </c>
      <c r="C31" s="322" t="s">
        <v>44</v>
      </c>
      <c r="D31" s="322" t="s">
        <v>44</v>
      </c>
      <c r="E31" s="322" t="s">
        <v>44</v>
      </c>
    </row>
    <row r="32" spans="1:14" ht="13.5" x14ac:dyDescent="0.3">
      <c r="A32" s="327">
        <v>32</v>
      </c>
      <c r="B32" s="322">
        <v>1</v>
      </c>
      <c r="C32" s="322" t="s">
        <v>45</v>
      </c>
      <c r="D32" s="322" t="s">
        <v>45</v>
      </c>
      <c r="E32" s="322" t="s">
        <v>45</v>
      </c>
    </row>
    <row r="33" spans="1:5" ht="13.5" x14ac:dyDescent="0.3">
      <c r="A33" s="327">
        <v>33</v>
      </c>
      <c r="B33" s="322">
        <v>1</v>
      </c>
      <c r="C33" s="322" t="s">
        <v>46</v>
      </c>
      <c r="D33" s="322" t="s">
        <v>46</v>
      </c>
      <c r="E33" s="322" t="s">
        <v>46</v>
      </c>
    </row>
    <row r="34" spans="1:5" ht="13.5" x14ac:dyDescent="0.3">
      <c r="A34" s="327">
        <v>34</v>
      </c>
      <c r="B34" s="322">
        <v>1</v>
      </c>
      <c r="C34" s="322" t="s">
        <v>47</v>
      </c>
      <c r="D34" s="322" t="s">
        <v>47</v>
      </c>
      <c r="E34" s="322" t="s">
        <v>47</v>
      </c>
    </row>
    <row r="35" spans="1:5" ht="13.5" x14ac:dyDescent="0.3">
      <c r="A35" s="327">
        <v>35</v>
      </c>
      <c r="B35" s="322">
        <v>1</v>
      </c>
      <c r="C35" s="322" t="s">
        <v>48</v>
      </c>
      <c r="D35" s="322" t="s">
        <v>48</v>
      </c>
      <c r="E35" s="322" t="s">
        <v>48</v>
      </c>
    </row>
    <row r="36" spans="1:5" ht="13.5" x14ac:dyDescent="0.3">
      <c r="A36" s="327">
        <v>36</v>
      </c>
      <c r="B36" s="322">
        <v>1</v>
      </c>
      <c r="C36" s="322" t="s">
        <v>49</v>
      </c>
      <c r="D36" s="322" t="s">
        <v>49</v>
      </c>
      <c r="E36" s="322" t="s">
        <v>49</v>
      </c>
    </row>
    <row r="37" spans="1:5" ht="13.5" x14ac:dyDescent="0.3">
      <c r="A37" s="327">
        <v>37</v>
      </c>
      <c r="B37" s="322">
        <v>1</v>
      </c>
      <c r="C37" s="322" t="s">
        <v>50</v>
      </c>
      <c r="D37" s="322" t="s">
        <v>50</v>
      </c>
      <c r="E37" s="322" t="s">
        <v>50</v>
      </c>
    </row>
    <row r="38" spans="1:5" ht="13.5" x14ac:dyDescent="0.3">
      <c r="A38" s="327">
        <v>38</v>
      </c>
      <c r="B38" s="322">
        <v>1</v>
      </c>
      <c r="C38" s="322" t="s">
        <v>51</v>
      </c>
      <c r="D38" s="322" t="s">
        <v>51</v>
      </c>
      <c r="E38" s="322" t="s">
        <v>51</v>
      </c>
    </row>
    <row r="39" spans="1:5" ht="13.5" x14ac:dyDescent="0.3">
      <c r="A39" s="327">
        <v>39</v>
      </c>
      <c r="B39" s="322">
        <v>1</v>
      </c>
      <c r="C39" s="322" t="s">
        <v>52</v>
      </c>
      <c r="D39" s="322" t="s">
        <v>52</v>
      </c>
      <c r="E39" s="322" t="s">
        <v>52</v>
      </c>
    </row>
    <row r="40" spans="1:5" ht="13.5" x14ac:dyDescent="0.3">
      <c r="A40" s="327">
        <v>40</v>
      </c>
      <c r="B40" s="322">
        <v>1</v>
      </c>
      <c r="C40" s="322" t="s">
        <v>53</v>
      </c>
      <c r="D40" s="322" t="s">
        <v>53</v>
      </c>
      <c r="E40" s="322" t="s">
        <v>53</v>
      </c>
    </row>
    <row r="41" spans="1:5" ht="13.5" x14ac:dyDescent="0.3">
      <c r="A41" s="327">
        <v>41</v>
      </c>
      <c r="B41" s="322">
        <v>1</v>
      </c>
      <c r="C41" s="322" t="s">
        <v>54</v>
      </c>
      <c r="D41" s="322" t="s">
        <v>54</v>
      </c>
      <c r="E41" s="322" t="s">
        <v>54</v>
      </c>
    </row>
    <row r="42" spans="1:5" ht="13.5" x14ac:dyDescent="0.3">
      <c r="A42" s="327">
        <v>42</v>
      </c>
      <c r="B42" s="322">
        <v>1</v>
      </c>
      <c r="C42" s="322" t="s">
        <v>55</v>
      </c>
      <c r="D42" s="322" t="s">
        <v>55</v>
      </c>
      <c r="E42" s="322" t="s">
        <v>55</v>
      </c>
    </row>
    <row r="43" spans="1:5" ht="13.5" x14ac:dyDescent="0.3">
      <c r="A43" s="327">
        <v>43</v>
      </c>
      <c r="B43" s="322">
        <v>1</v>
      </c>
      <c r="C43" s="322" t="s">
        <v>56</v>
      </c>
      <c r="D43" s="322" t="s">
        <v>56</v>
      </c>
      <c r="E43" s="322" t="s">
        <v>56</v>
      </c>
    </row>
    <row r="44" spans="1:5" ht="13.5" x14ac:dyDescent="0.3">
      <c r="A44" s="327">
        <v>13</v>
      </c>
      <c r="B44" s="322">
        <v>1</v>
      </c>
      <c r="C44" s="322" t="s">
        <v>95</v>
      </c>
      <c r="D44" s="322" t="s">
        <v>109</v>
      </c>
      <c r="E44" s="322" t="s">
        <v>109</v>
      </c>
    </row>
    <row r="45" spans="1:5" ht="13.5" x14ac:dyDescent="0.3">
      <c r="A45" s="327">
        <v>44</v>
      </c>
      <c r="B45" s="322">
        <v>1</v>
      </c>
      <c r="C45" s="322" t="s">
        <v>57</v>
      </c>
      <c r="D45" s="322" t="s">
        <v>57</v>
      </c>
      <c r="E45" s="322" t="s">
        <v>57</v>
      </c>
    </row>
    <row r="46" spans="1:5" ht="13.5" x14ac:dyDescent="0.3">
      <c r="A46" s="327">
        <v>45</v>
      </c>
      <c r="B46" s="322">
        <v>1</v>
      </c>
      <c r="C46" s="322" t="s">
        <v>58</v>
      </c>
      <c r="D46" s="322" t="s">
        <v>58</v>
      </c>
      <c r="E46" s="322" t="s">
        <v>58</v>
      </c>
    </row>
    <row r="47" spans="1:5" ht="13.5" x14ac:dyDescent="0.3">
      <c r="A47" s="327">
        <v>46</v>
      </c>
      <c r="B47" s="322">
        <v>1</v>
      </c>
      <c r="C47" s="322" t="s">
        <v>59</v>
      </c>
      <c r="D47" s="322" t="s">
        <v>59</v>
      </c>
      <c r="E47" s="322" t="s">
        <v>59</v>
      </c>
    </row>
    <row r="48" spans="1:5" ht="13.5" x14ac:dyDescent="0.3">
      <c r="A48" s="327">
        <v>47</v>
      </c>
      <c r="B48" s="322">
        <v>1</v>
      </c>
      <c r="C48" s="322" t="s">
        <v>60</v>
      </c>
      <c r="D48" s="322" t="s">
        <v>60</v>
      </c>
      <c r="E48" s="322" t="s">
        <v>60</v>
      </c>
    </row>
    <row r="49" spans="1:5" ht="13.5" x14ac:dyDescent="0.3">
      <c r="A49" s="327">
        <v>48</v>
      </c>
      <c r="B49" s="322">
        <v>1</v>
      </c>
      <c r="C49" s="322" t="s">
        <v>61</v>
      </c>
      <c r="D49" s="322" t="s">
        <v>61</v>
      </c>
      <c r="E49" s="322" t="s">
        <v>61</v>
      </c>
    </row>
    <row r="50" spans="1:5" ht="13.5" x14ac:dyDescent="0.3">
      <c r="A50" s="327">
        <v>49</v>
      </c>
      <c r="B50" s="322">
        <v>1</v>
      </c>
      <c r="C50" s="322" t="s">
        <v>62</v>
      </c>
      <c r="D50" s="322" t="s">
        <v>62</v>
      </c>
      <c r="E50" s="322" t="s">
        <v>62</v>
      </c>
    </row>
    <row r="51" spans="1:5" ht="13.5" x14ac:dyDescent="0.3">
      <c r="A51" s="327">
        <v>50</v>
      </c>
      <c r="B51" s="322">
        <v>1</v>
      </c>
      <c r="C51" s="322" t="s">
        <v>63</v>
      </c>
      <c r="D51" s="322" t="s">
        <v>63</v>
      </c>
      <c r="E51" s="322" t="s">
        <v>63</v>
      </c>
    </row>
    <row r="52" spans="1:5" ht="13.5" x14ac:dyDescent="0.3">
      <c r="A52" s="327">
        <v>51</v>
      </c>
      <c r="B52" s="322">
        <v>1</v>
      </c>
      <c r="C52" s="322" t="s">
        <v>64</v>
      </c>
      <c r="D52" s="322" t="s">
        <v>64</v>
      </c>
      <c r="E52" s="322" t="s">
        <v>64</v>
      </c>
    </row>
    <row r="53" spans="1:5" ht="13.5" x14ac:dyDescent="0.3">
      <c r="A53" s="327">
        <v>52</v>
      </c>
      <c r="B53" s="322">
        <v>1</v>
      </c>
      <c r="C53" s="322" t="s">
        <v>11</v>
      </c>
      <c r="D53" s="322" t="s">
        <v>11</v>
      </c>
      <c r="E53" s="322" t="s">
        <v>11</v>
      </c>
    </row>
    <row r="54" spans="1:5" ht="13.5" x14ac:dyDescent="0.3">
      <c r="A54" s="327">
        <v>53</v>
      </c>
      <c r="B54" s="322">
        <v>1</v>
      </c>
      <c r="C54" s="322" t="s">
        <v>65</v>
      </c>
      <c r="D54" s="322" t="s">
        <v>65</v>
      </c>
      <c r="E54" s="322" t="s">
        <v>65</v>
      </c>
    </row>
    <row r="55" spans="1:5" ht="13.5" x14ac:dyDescent="0.3">
      <c r="A55" s="327">
        <v>54</v>
      </c>
      <c r="B55" s="322">
        <v>1</v>
      </c>
      <c r="C55" s="322" t="s">
        <v>66</v>
      </c>
      <c r="D55" s="322" t="s">
        <v>66</v>
      </c>
      <c r="E55" s="322" t="s">
        <v>66</v>
      </c>
    </row>
    <row r="56" spans="1:5" ht="13.5" x14ac:dyDescent="0.3">
      <c r="A56" s="327">
        <v>58</v>
      </c>
      <c r="B56" s="322">
        <v>1</v>
      </c>
      <c r="C56" s="322" t="s">
        <v>70</v>
      </c>
      <c r="D56" s="322" t="s">
        <v>110</v>
      </c>
      <c r="E56" s="322" t="s">
        <v>111</v>
      </c>
    </row>
    <row r="57" spans="1:5" ht="13.5" x14ac:dyDescent="0.3">
      <c r="A57" s="327">
        <v>59</v>
      </c>
      <c r="B57" s="322">
        <v>1</v>
      </c>
      <c r="C57" s="322" t="s">
        <v>82</v>
      </c>
      <c r="D57" s="322" t="s">
        <v>112</v>
      </c>
      <c r="E57" s="322" t="s">
        <v>113</v>
      </c>
    </row>
    <row r="58" spans="1:5" ht="13.5" x14ac:dyDescent="0.3">
      <c r="A58" s="327">
        <v>55</v>
      </c>
      <c r="B58" s="322">
        <v>1</v>
      </c>
      <c r="C58" s="322" t="s">
        <v>67</v>
      </c>
      <c r="D58" s="322" t="s">
        <v>67</v>
      </c>
      <c r="E58" s="322" t="s">
        <v>67</v>
      </c>
    </row>
    <row r="59" spans="1:5" ht="13.5" x14ac:dyDescent="0.3">
      <c r="A59" s="327">
        <v>56</v>
      </c>
      <c r="B59" s="322">
        <v>1</v>
      </c>
      <c r="C59" s="322" t="s">
        <v>68</v>
      </c>
      <c r="D59" s="322" t="s">
        <v>68</v>
      </c>
      <c r="E59" s="322" t="s">
        <v>68</v>
      </c>
    </row>
    <row r="60" spans="1:5" ht="13.5" x14ac:dyDescent="0.3">
      <c r="A60" s="327">
        <v>57</v>
      </c>
      <c r="B60" s="322">
        <v>1</v>
      </c>
      <c r="C60" s="322" t="s">
        <v>69</v>
      </c>
      <c r="D60" s="322" t="s">
        <v>69</v>
      </c>
      <c r="E60" s="322" t="s">
        <v>69</v>
      </c>
    </row>
    <row r="61" spans="1:5" ht="13.5" x14ac:dyDescent="0.3">
      <c r="A61" s="327">
        <v>60</v>
      </c>
      <c r="B61" s="322">
        <v>1</v>
      </c>
      <c r="C61" s="322" t="s">
        <v>71</v>
      </c>
      <c r="D61" s="322" t="s">
        <v>71</v>
      </c>
      <c r="E61" s="322" t="s">
        <v>71</v>
      </c>
    </row>
    <row r="62" spans="1:5" ht="13.5" x14ac:dyDescent="0.3">
      <c r="A62" s="327">
        <v>61</v>
      </c>
      <c r="B62" s="322">
        <v>1</v>
      </c>
      <c r="C62" s="322" t="s">
        <v>72</v>
      </c>
      <c r="D62" s="322" t="s">
        <v>72</v>
      </c>
      <c r="E62" s="322" t="s">
        <v>72</v>
      </c>
    </row>
    <row r="63" spans="1:5" ht="13.5" x14ac:dyDescent="0.3">
      <c r="A63" s="327">
        <v>62</v>
      </c>
      <c r="B63" s="322">
        <v>1</v>
      </c>
      <c r="C63" s="322" t="s">
        <v>73</v>
      </c>
      <c r="D63" s="322" t="s">
        <v>73</v>
      </c>
      <c r="E63" s="322" t="s">
        <v>73</v>
      </c>
    </row>
    <row r="64" spans="1:5" ht="13.5" x14ac:dyDescent="0.3">
      <c r="A64" s="327">
        <v>63</v>
      </c>
      <c r="B64" s="322">
        <v>1</v>
      </c>
      <c r="C64" s="322" t="s">
        <v>74</v>
      </c>
      <c r="D64" s="322" t="s">
        <v>74</v>
      </c>
      <c r="E64" s="322" t="s">
        <v>74</v>
      </c>
    </row>
    <row r="65" spans="1:5" ht="13.5" x14ac:dyDescent="0.3">
      <c r="A65" s="327">
        <v>64</v>
      </c>
      <c r="B65" s="322">
        <v>1</v>
      </c>
      <c r="C65" s="322" t="s">
        <v>75</v>
      </c>
      <c r="D65" s="322" t="s">
        <v>75</v>
      </c>
      <c r="E65" s="322" t="s">
        <v>75</v>
      </c>
    </row>
    <row r="66" spans="1:5" ht="13.5" x14ac:dyDescent="0.3">
      <c r="A66" s="327">
        <v>65</v>
      </c>
      <c r="B66" s="322">
        <v>1</v>
      </c>
      <c r="C66" s="322" t="s">
        <v>76</v>
      </c>
      <c r="D66" s="322" t="s">
        <v>76</v>
      </c>
      <c r="E66" s="322" t="s">
        <v>76</v>
      </c>
    </row>
    <row r="67" spans="1:5" ht="13.5" x14ac:dyDescent="0.3">
      <c r="A67" s="327">
        <v>66</v>
      </c>
      <c r="B67" s="322">
        <v>1</v>
      </c>
      <c r="C67" s="322" t="s">
        <v>77</v>
      </c>
      <c r="D67" s="322" t="s">
        <v>77</v>
      </c>
      <c r="E67" s="322" t="s">
        <v>77</v>
      </c>
    </row>
    <row r="68" spans="1:5" ht="13.5" x14ac:dyDescent="0.3">
      <c r="A68" s="327">
        <v>67</v>
      </c>
      <c r="B68" s="322">
        <v>1</v>
      </c>
      <c r="C68" s="322" t="s">
        <v>78</v>
      </c>
      <c r="D68" s="322" t="s">
        <v>78</v>
      </c>
      <c r="E68" s="322" t="s">
        <v>78</v>
      </c>
    </row>
  </sheetData>
  <sortState xmlns:xlrd2="http://schemas.microsoft.com/office/spreadsheetml/2017/richdata2" ref="A2:E68">
    <sortCondition ref="E2:E6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Estimate</vt:lpstr>
      <vt:lpstr>EstimatingTool</vt:lpstr>
      <vt:lpstr>JuryMgmtBudgetAuthorityLookUp</vt:lpstr>
      <vt:lpstr>JAC Lookup</vt:lpstr>
      <vt:lpstr>PriorActualsData</vt:lpstr>
      <vt:lpstr>ET -with CF</vt:lpstr>
      <vt:lpstr>Lookup_OverUnderExpended_8-6-19</vt:lpstr>
      <vt:lpstr>Clerk Jury Over-Under Exp Recon</vt:lpstr>
      <vt:lpstr>BasicLookupData</vt:lpstr>
      <vt:lpstr>ReportInfo</vt:lpstr>
      <vt:lpstr>CarryForward</vt:lpstr>
      <vt:lpstr>CF</vt:lpstr>
      <vt:lpstr>JuryHD</vt:lpstr>
      <vt:lpstr>'JAC Lookup'!Print_Area</vt:lpstr>
      <vt:lpstr>'JAC Lookup'!Print_Titles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Marleni Bruner</cp:lastModifiedBy>
  <cp:lastPrinted>2020-02-11T15:01:52Z</cp:lastPrinted>
  <dcterms:created xsi:type="dcterms:W3CDTF">2016-03-09T19:14:21Z</dcterms:created>
  <dcterms:modified xsi:type="dcterms:W3CDTF">2020-02-12T13:49:29Z</dcterms:modified>
</cp:coreProperties>
</file>