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Forms\Jury\"/>
    </mc:Choice>
  </mc:AlternateContent>
  <xr:revisionPtr revIDLastSave="0" documentId="10_ncr:100000_{F77621FA-E987-4506-92E5-6B6F60BE7C30}" xr6:coauthVersionLast="31" xr6:coauthVersionMax="31" xr10:uidLastSave="{00000000-0000-0000-0000-000000000000}"/>
  <workbookProtection workbookAlgorithmName="SHA-512" workbookHashValue="TCwE1SndvmEadLR48h7ALLTFZxgunR7d5xKtr5rcDn9zby3nZdiKs92YjhQLs17feQnD0STdWwdvpym7URQUJw==" workbookSaltValue="t3WgQff4W7oC0W6gNCoHrQ==" workbookSpinCount="100000" lockStructure="1"/>
  <bookViews>
    <workbookView xWindow="0" yWindow="0" windowWidth="20490" windowHeight="8820" xr2:uid="{00000000-000D-0000-FFFF-FFFF00000000}"/>
  </bookViews>
  <sheets>
    <sheet name="Estimate" sheetId="3" r:id="rId1"/>
    <sheet name="EstimatingTool" sheetId="8" r:id="rId2"/>
    <sheet name="JAC Lookup" sheetId="12" state="hidden" r:id="rId3"/>
    <sheet name="PriorEstimateData" sheetId="13" state="hidden" r:id="rId4"/>
    <sheet name="PriorActualsData" sheetId="14" state="hidden" r:id="rId5"/>
    <sheet name="BasicLookupData" sheetId="6" state="hidden" r:id="rId6"/>
    <sheet name="ReportInfo" sheetId="7" state="hidden" r:id="rId7"/>
  </sheets>
  <definedNames>
    <definedName name="InsufficientAmount">Estimate!$F$55</definedName>
    <definedName name="_xlnm.Print_Area" localSheetId="0">Estimate!$A$1:$H$62</definedName>
    <definedName name="_xlnm.Print_Area" localSheetId="1">EstimatingTool!$A$1:$G$32</definedName>
    <definedName name="_xlnm.Print_Area" localSheetId="2">'JAC Lookup'!$A$1:$F$72</definedName>
    <definedName name="_xlnm.Print_Titles" localSheetId="2">'JAC Lookup'!$1:$4</definedName>
    <definedName name="UnExpendedAmount">Estimate!$F$52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3" l="1"/>
  <c r="F52" i="3"/>
  <c r="C46" i="7" l="1"/>
  <c r="B46" i="7"/>
  <c r="G44" i="7"/>
  <c r="G43" i="7"/>
  <c r="E21" i="8" l="1"/>
  <c r="G1" i="14" l="1"/>
  <c r="M5" i="14"/>
  <c r="M6" i="14"/>
  <c r="M7" i="14"/>
  <c r="M9" i="14"/>
  <c r="M10" i="14"/>
  <c r="M11" i="14"/>
  <c r="M13" i="14"/>
  <c r="M14" i="14"/>
  <c r="M15" i="14"/>
  <c r="M17" i="14"/>
  <c r="M18" i="14"/>
  <c r="M19" i="14"/>
  <c r="M21" i="14"/>
  <c r="M22" i="14"/>
  <c r="M23" i="14"/>
  <c r="M25" i="14"/>
  <c r="M26" i="14"/>
  <c r="M27" i="14"/>
  <c r="M29" i="14"/>
  <c r="M30" i="14"/>
  <c r="M31" i="14"/>
  <c r="M33" i="14"/>
  <c r="M34" i="14"/>
  <c r="M35" i="14"/>
  <c r="M37" i="14"/>
  <c r="M38" i="14"/>
  <c r="M39" i="14"/>
  <c r="M41" i="14"/>
  <c r="M42" i="14"/>
  <c r="M43" i="14"/>
  <c r="M45" i="14"/>
  <c r="M46" i="14"/>
  <c r="M47" i="14"/>
  <c r="M49" i="14"/>
  <c r="M50" i="14"/>
  <c r="M51" i="14"/>
  <c r="M53" i="14"/>
  <c r="M54" i="14"/>
  <c r="M55" i="14"/>
  <c r="M57" i="14"/>
  <c r="M58" i="14"/>
  <c r="M59" i="14"/>
  <c r="M61" i="14"/>
  <c r="M62" i="14"/>
  <c r="M63" i="14"/>
  <c r="M65" i="14"/>
  <c r="M66" i="14"/>
  <c r="M67" i="14"/>
  <c r="M69" i="14"/>
  <c r="M3" i="14"/>
  <c r="L4" i="14"/>
  <c r="M4" i="14" s="1"/>
  <c r="L5" i="14"/>
  <c r="L6" i="14"/>
  <c r="L7" i="14"/>
  <c r="L8" i="14"/>
  <c r="M8" i="14" s="1"/>
  <c r="L9" i="14"/>
  <c r="L10" i="14"/>
  <c r="L11" i="14"/>
  <c r="L12" i="14"/>
  <c r="M12" i="14" s="1"/>
  <c r="L13" i="14"/>
  <c r="L14" i="14"/>
  <c r="L15" i="14"/>
  <c r="L16" i="14"/>
  <c r="M16" i="14" s="1"/>
  <c r="L17" i="14"/>
  <c r="L18" i="14"/>
  <c r="L19" i="14"/>
  <c r="L20" i="14"/>
  <c r="M20" i="14" s="1"/>
  <c r="L21" i="14"/>
  <c r="L22" i="14"/>
  <c r="L23" i="14"/>
  <c r="L24" i="14"/>
  <c r="M24" i="14" s="1"/>
  <c r="L25" i="14"/>
  <c r="L26" i="14"/>
  <c r="L27" i="14"/>
  <c r="L28" i="14"/>
  <c r="M28" i="14" s="1"/>
  <c r="L29" i="14"/>
  <c r="L30" i="14"/>
  <c r="L31" i="14"/>
  <c r="L32" i="14"/>
  <c r="M32" i="14" s="1"/>
  <c r="L33" i="14"/>
  <c r="L34" i="14"/>
  <c r="L35" i="14"/>
  <c r="L36" i="14"/>
  <c r="M36" i="14" s="1"/>
  <c r="L37" i="14"/>
  <c r="L38" i="14"/>
  <c r="L39" i="14"/>
  <c r="L40" i="14"/>
  <c r="M40" i="14" s="1"/>
  <c r="L41" i="14"/>
  <c r="L42" i="14"/>
  <c r="L43" i="14"/>
  <c r="L44" i="14"/>
  <c r="M44" i="14" s="1"/>
  <c r="L45" i="14"/>
  <c r="L46" i="14"/>
  <c r="L47" i="14"/>
  <c r="L48" i="14"/>
  <c r="M48" i="14" s="1"/>
  <c r="L49" i="14"/>
  <c r="L50" i="14"/>
  <c r="L51" i="14"/>
  <c r="L52" i="14"/>
  <c r="M52" i="14" s="1"/>
  <c r="L53" i="14"/>
  <c r="L54" i="14"/>
  <c r="L55" i="14"/>
  <c r="L56" i="14"/>
  <c r="M56" i="14" s="1"/>
  <c r="L57" i="14"/>
  <c r="L58" i="14"/>
  <c r="L59" i="14"/>
  <c r="L60" i="14"/>
  <c r="M60" i="14" s="1"/>
  <c r="L61" i="14"/>
  <c r="L62" i="14"/>
  <c r="L63" i="14"/>
  <c r="L64" i="14"/>
  <c r="M64" i="14" s="1"/>
  <c r="L65" i="14"/>
  <c r="L66" i="14"/>
  <c r="L67" i="14"/>
  <c r="L68" i="14"/>
  <c r="M68" i="14" s="1"/>
  <c r="L69" i="14"/>
  <c r="L3" i="14"/>
  <c r="H52" i="3"/>
  <c r="A4" i="3"/>
  <c r="I71" i="13" l="1"/>
  <c r="H71" i="13"/>
  <c r="G71" i="13"/>
  <c r="F71" i="13"/>
  <c r="E71" i="13"/>
  <c r="D71" i="13"/>
  <c r="C71" i="13"/>
  <c r="B71" i="13"/>
  <c r="C72" i="12" l="1"/>
  <c r="D72" i="12"/>
  <c r="E72" i="12"/>
  <c r="B72" i="12"/>
  <c r="E6" i="8"/>
  <c r="J5" i="6"/>
  <c r="J4" i="6"/>
  <c r="J3" i="6"/>
  <c r="J2" i="6"/>
  <c r="A2" i="3"/>
  <c r="A2" i="8" s="1"/>
  <c r="A3" i="3"/>
  <c r="A3" i="8" s="1"/>
  <c r="J2" i="13" l="1"/>
  <c r="F3" i="12"/>
  <c r="C10" i="8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F5" i="12"/>
  <c r="F69" i="12"/>
  <c r="F65" i="12"/>
  <c r="F61" i="12"/>
  <c r="F57" i="12"/>
  <c r="F53" i="12"/>
  <c r="F49" i="12"/>
  <c r="F45" i="12"/>
  <c r="F41" i="12"/>
  <c r="F37" i="12"/>
  <c r="F33" i="12"/>
  <c r="F29" i="12"/>
  <c r="F25" i="12"/>
  <c r="F21" i="12"/>
  <c r="F17" i="12"/>
  <c r="F13" i="12"/>
  <c r="F9" i="12"/>
  <c r="F68" i="12"/>
  <c r="F64" i="12"/>
  <c r="F60" i="12"/>
  <c r="F56" i="12"/>
  <c r="F52" i="12"/>
  <c r="F48" i="12"/>
  <c r="F44" i="12"/>
  <c r="F40" i="12"/>
  <c r="F36" i="12"/>
  <c r="F32" i="12"/>
  <c r="F28" i="12"/>
  <c r="F24" i="12"/>
  <c r="F20" i="12"/>
  <c r="F16" i="12"/>
  <c r="F12" i="12"/>
  <c r="F8" i="12"/>
  <c r="F71" i="12"/>
  <c r="F67" i="12"/>
  <c r="F63" i="12"/>
  <c r="F59" i="12"/>
  <c r="F55" i="12"/>
  <c r="F51" i="12"/>
  <c r="F47" i="12"/>
  <c r="F43" i="12"/>
  <c r="F39" i="12"/>
  <c r="F35" i="12"/>
  <c r="F31" i="12"/>
  <c r="F27" i="12"/>
  <c r="F23" i="12"/>
  <c r="F19" i="12"/>
  <c r="F15" i="12"/>
  <c r="F11" i="12"/>
  <c r="F7" i="12"/>
  <c r="F70" i="12"/>
  <c r="F66" i="12"/>
  <c r="F62" i="12"/>
  <c r="F58" i="12"/>
  <c r="F54" i="12"/>
  <c r="F50" i="12"/>
  <c r="F46" i="12"/>
  <c r="F42" i="12"/>
  <c r="F38" i="12"/>
  <c r="F34" i="12"/>
  <c r="F30" i="12"/>
  <c r="F26" i="12"/>
  <c r="F22" i="12"/>
  <c r="F18" i="12"/>
  <c r="F14" i="12"/>
  <c r="F10" i="12"/>
  <c r="F6" i="12"/>
  <c r="F72" i="12" l="1"/>
  <c r="J71" i="13"/>
  <c r="F4" i="8" l="1"/>
  <c r="F20" i="3" l="1"/>
  <c r="C6" i="8" l="1"/>
  <c r="E18" i="8" s="1"/>
  <c r="G42" i="7" l="1"/>
  <c r="E22" i="8"/>
  <c r="E14" i="8"/>
  <c r="E13" i="8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E15" i="8" l="1"/>
  <c r="E16" i="8" s="1"/>
  <c r="G41" i="7"/>
  <c r="E23" i="8"/>
  <c r="E25" i="8"/>
  <c r="E24" i="8"/>
  <c r="F26" i="8" s="1"/>
  <c r="Q3" i="6"/>
  <c r="Q4" i="6"/>
  <c r="Q5" i="6"/>
  <c r="Q6" i="6"/>
  <c r="Q7" i="6"/>
  <c r="Q8" i="6"/>
  <c r="Q9" i="6"/>
  <c r="Q10" i="6"/>
  <c r="Q11" i="6"/>
  <c r="Q12" i="6"/>
  <c r="Q13" i="6"/>
  <c r="Q2" i="6"/>
  <c r="B9" i="7"/>
  <c r="B8" i="7"/>
  <c r="F27" i="8" l="1"/>
  <c r="E1" i="7"/>
  <c r="A21" i="7" s="1"/>
  <c r="B7" i="7"/>
  <c r="F28" i="3"/>
  <c r="A22" i="7" l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6" i="7" s="1"/>
  <c r="F35" i="3" l="1"/>
  <c r="F42" i="3"/>
  <c r="F46" i="3" l="1"/>
  <c r="F48" i="3" s="1"/>
  <c r="I1" i="14" l="1"/>
  <c r="H46" i="3" s="1"/>
  <c r="F10" i="8"/>
  <c r="F28" i="8" s="1"/>
  <c r="G37" i="7"/>
  <c r="G39" i="7" l="1"/>
  <c r="F57" i="3" l="1"/>
  <c r="G40" i="7" s="1"/>
  <c r="G38" i="7"/>
</calcChain>
</file>

<file path=xl/sharedStrings.xml><?xml version="1.0" encoding="utf-8"?>
<sst xmlns="http://schemas.openxmlformats.org/spreadsheetml/2006/main" count="1003" uniqueCount="288">
  <si>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</si>
  <si>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</si>
  <si>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</si>
  <si>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</si>
  <si>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</si>
  <si>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</si>
  <si>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</si>
  <si>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</si>
  <si>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</si>
  <si>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</si>
  <si>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</si>
  <si>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</si>
  <si>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</si>
  <si>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</si>
  <si>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</si>
  <si>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</si>
  <si>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</si>
  <si>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</si>
  <si>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</si>
  <si>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</si>
  <si>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</si>
  <si>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</si>
  <si>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</si>
  <si>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</si>
  <si>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</si>
  <si>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</si>
  <si>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</si>
  <si>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</si>
  <si>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</si>
  <si>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</si>
  <si>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</si>
  <si>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</si>
  <si>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</si>
  <si>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</si>
  <si>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</si>
  <si>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</si>
  <si>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</si>
  <si>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</si>
  <si>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</si>
  <si>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</si>
  <si>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</si>
  <si>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</si>
  <si>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</si>
  <si>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</si>
  <si>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</si>
  <si>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</si>
  <si>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</si>
  <si>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</si>
  <si>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</si>
  <si>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</si>
  <si>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</si>
  <si>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</si>
  <si>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</si>
  <si>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</si>
  <si>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</si>
  <si>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</si>
  <si>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</si>
  <si>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</si>
  <si>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</si>
  <si>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</si>
  <si>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</si>
  <si>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</si>
  <si>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</si>
  <si>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</si>
  <si>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</si>
  <si>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</si>
  <si>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</si>
  <si>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</si>
  <si>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</si>
  <si>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</si>
  <si>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</si>
  <si>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</si>
  <si>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</si>
  <si>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</si>
  <si>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</si>
  <si>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</si>
  <si>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</si>
  <si>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</si>
  <si>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</si>
  <si>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</si>
  <si>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</si>
  <si>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</si>
  <si>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</si>
  <si>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</si>
  <si>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</si>
  <si>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</si>
  <si>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</si>
  <si>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</si>
  <si>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</si>
  <si>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</si>
  <si>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</si>
  <si>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</si>
  <si>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</si>
  <si>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</si>
  <si>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</si>
  <si>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</si>
  <si>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</si>
  <si>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</si>
  <si>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</si>
  <si>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</si>
  <si>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</si>
  <si>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</si>
  <si>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</si>
  <si>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</si>
  <si>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</si>
  <si>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</si>
  <si>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</si>
  <si>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</si>
  <si>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</si>
  <si>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</si>
  <si>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</si>
  <si>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</si>
  <si>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</si>
  <si>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</si>
  <si>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</si>
  <si>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</si>
  <si>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</si>
  <si>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</si>
  <si>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</si>
  <si>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</si>
  <si>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</si>
  <si>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</si>
  <si>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</si>
  <si>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</si>
  <si>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</si>
  <si>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</si>
  <si>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</si>
  <si>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</si>
  <si>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</si>
  <si>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</si>
  <si>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</si>
  <si>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</si>
  <si>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</si>
  <si>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</si>
  <si>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</si>
  <si>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</si>
  <si>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</si>
  <si>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</si>
  <si>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</si>
  <si>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</si>
  <si>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</si>
  <si>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</si>
  <si>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</si>
  <si>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</si>
  <si>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</si>
  <si>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</si>
  <si>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</si>
  <si>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</si>
  <si>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</si>
  <si>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</si>
  <si>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</si>
  <si>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</si>
  <si>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</si>
  <si>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</si>
  <si>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</si>
  <si>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</si>
  <si>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</si>
  <si>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</si>
  <si>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</si>
  <si>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SFY1718-Qtr2</t>
  </si>
  <si>
    <t>SFY1718-Qtr3</t>
  </si>
  <si>
    <t>SFY1718-Qtr4</t>
  </si>
  <si>
    <t>SFY1819-Qtr1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</si>
  <si>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</si>
  <si>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</si>
  <si>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</si>
  <si>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</si>
  <si>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</si>
  <si>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</si>
  <si>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</si>
  <si>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</si>
  <si>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</si>
  <si>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</si>
  <si>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</si>
  <si>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</si>
  <si>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</si>
  <si>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</si>
  <si>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</si>
  <si>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</si>
  <si>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</si>
  <si>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</si>
  <si>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</si>
  <si>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</si>
  <si>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</si>
  <si>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</si>
  <si>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</si>
  <si>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</si>
  <si>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</si>
  <si>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</si>
  <si>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</si>
  <si>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Estimating Qtr: 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</si>
  <si>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</si>
  <si>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</si>
  <si>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</si>
  <si>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</si>
  <si>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</si>
  <si>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</si>
  <si>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</si>
  <si>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</si>
  <si>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</si>
  <si>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</si>
  <si>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</si>
  <si>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</si>
  <si>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</si>
  <si>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One-Step Process:</t>
  </si>
  <si>
    <t>Quarterly Estimates of Clerk Juror Costs</t>
  </si>
  <si>
    <t>Estimates for Quarter</t>
  </si>
  <si>
    <t>County</t>
  </si>
  <si>
    <t>Total</t>
  </si>
  <si>
    <t>Quarter: Apr-May-Jun of SFY17/18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</si>
  <si>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</si>
  <si>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</si>
  <si>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</si>
  <si>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</si>
  <si>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</si>
  <si>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</si>
  <si>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</si>
  <si>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</si>
  <si>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</si>
  <si>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</si>
  <si>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</si>
  <si>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</si>
  <si>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</si>
  <si>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</si>
  <si>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</si>
  <si>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</si>
  <si>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</si>
  <si>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</si>
  <si>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</si>
  <si>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</si>
  <si>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</si>
  <si>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</si>
  <si>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</si>
  <si>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</si>
  <si>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</si>
  <si>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</si>
  <si>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</si>
  <si>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</si>
  <si>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</si>
  <si>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</si>
  <si>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</si>
  <si>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</si>
  <si>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</si>
  <si>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</si>
  <si>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</si>
  <si>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</si>
  <si>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</si>
  <si>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1st Month Current Qtr Actuals</t>
  </si>
  <si>
    <t>2nd and 3rd Month Current Qtr Estimates</t>
  </si>
  <si>
    <t>Additional Info</t>
  </si>
  <si>
    <t>Estimated August + September Actual Expenditures</t>
  </si>
  <si>
    <t>Estimated November + December Actual Expenditures</t>
  </si>
  <si>
    <t>Estimated February + March Actual Expenditures</t>
  </si>
  <si>
    <t>Estimated May + June Actual Expenditures</t>
  </si>
  <si>
    <t>RevenueExpense</t>
  </si>
  <si>
    <t>REType</t>
  </si>
  <si>
    <t>RESubType</t>
  </si>
  <si>
    <t>Period1</t>
  </si>
  <si>
    <t>Period2</t>
  </si>
  <si>
    <t>Period3</t>
  </si>
  <si>
    <t>Period4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</si>
  <si>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</si>
  <si>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</si>
  <si>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</si>
  <si>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</si>
  <si>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</si>
  <si>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</si>
  <si>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JAC Disbursement from Apr-May-Jun:</t>
  </si>
  <si>
    <t xml:space="preserve"> +/- Excess (Over) / Under for Apr-May-Jun:</t>
  </si>
  <si>
    <t>JAC Disbursement from Jul-Aug-Sep:</t>
  </si>
  <si>
    <t xml:space="preserve">    July Actual-Expenditures</t>
  </si>
  <si>
    <t xml:space="preserve">    Estimated August and September Actual-Expenditures:</t>
  </si>
  <si>
    <t xml:space="preserve"> +/- Excess (Over) / Under for Jul-Aug-Sept:</t>
  </si>
  <si>
    <t>Cumulative:</t>
  </si>
  <si>
    <t>Excess (Over)/Under</t>
  </si>
  <si>
    <t>Calculation:</t>
  </si>
  <si>
    <t xml:space="preserve"> +/- Excess (Over)/Under Apr-May-Jun:</t>
  </si>
  <si>
    <t xml:space="preserve"> +/- Excess (Over)/Under Jul-Aug-Sep:</t>
  </si>
  <si>
    <t>Less: Actual-Expenditures from Apr-May-Jun:</t>
  </si>
  <si>
    <t>Less: Projected Actual-Expenditures from Jul-Aug-Sep:</t>
  </si>
  <si>
    <t>Cumulative +/- Excess (Over) Under for Periods:</t>
  </si>
  <si>
    <t>JAC Disbursement Apr-May-Jun</t>
  </si>
  <si>
    <t>JAC Disbursement Jul-Aug-Sep</t>
  </si>
  <si>
    <t>AdditionalInfo</t>
  </si>
  <si>
    <t>Jul-Aug-Sep Quarter Actual-Expenditures Estimate:</t>
  </si>
  <si>
    <t>April-May-Jun Quarter JAC Disbursement v Actual-Expendtiures:</t>
  </si>
  <si>
    <t xml:space="preserve">Total REQUESTED Jury Management Disbursement: </t>
  </si>
  <si>
    <t>CCOC Form Version 9
Created 08/14/18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</si>
</sst>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_);_(&quot;$&quot;* \(#,##0.00\)"/>
    <numFmt numFmtId="165" formatCode="[$-409]mmmm\ d\,\ yyyy;@"/>
    <numFmt numFmtId="166" formatCode="0.0"/>
  </numFmts>
  <fonts count="36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sz val="11"/>
      <color theme="0"/>
      <name val="Franklin Gothic Demi"/>
      <family val="2"/>
      <scheme val="maj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19" fillId="0" borderId="0" xfId="0" applyNumberFormat="1" applyFont="1" applyProtection="1"/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14" fillId="0" borderId="0" xfId="0" applyFont="1" applyAlignment="1" applyProtection="1">
      <alignment horizontal="right" vertical="center"/>
    </xf>
    <xf numFmtId="0" fontId="22" fillId="3" borderId="1" xfId="6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7" xfId="0" applyFont="1" applyFill="1" applyBorder="1" applyAlignment="1" applyProtection="1">
      <alignment horizontal="center" wrapText="1"/>
    </xf>
    <xf numFmtId="0" fontId="19" fillId="0" borderId="18" xfId="0" applyFont="1" applyFill="1" applyBorder="1" applyAlignment="1" applyProtection="1">
      <alignment vertical="center" wrapText="1"/>
    </xf>
    <xf numFmtId="0" fontId="29" fillId="12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wrapText="1"/>
    </xf>
    <xf numFmtId="0" fontId="29" fillId="12" borderId="15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Protection="1"/>
    <xf numFmtId="44" fontId="0" fillId="0" borderId="14" xfId="0" applyNumberFormat="1" applyFill="1" applyBorder="1" applyProtection="1"/>
    <xf numFmtId="44" fontId="0" fillId="13" borderId="15" xfId="2" applyFont="1" applyFill="1" applyBorder="1" applyProtection="1"/>
    <xf numFmtId="0" fontId="0" fillId="0" borderId="23" xfId="0" applyFont="1" applyFill="1" applyBorder="1" applyProtection="1"/>
    <xf numFmtId="44" fontId="0" fillId="0" borderId="24" xfId="0" applyNumberForma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44" fontId="0" fillId="13" borderId="25" xfId="2" applyFont="1" applyFill="1" applyBorder="1" applyProtection="1"/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31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1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1" fillId="0" borderId="0" xfId="0" applyFont="1" applyAlignment="1" applyProtection="1">
      <alignment horizontal="right"/>
    </xf>
    <xf numFmtId="0" fontId="31" fillId="0" borderId="0" xfId="0" applyFont="1" applyAlignment="1" applyProtection="1">
      <alignment horizontal="left"/>
    </xf>
    <xf numFmtId="0" fontId="31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3" borderId="35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36" xfId="2" applyFont="1" applyFill="1" applyBorder="1" applyProtection="1"/>
    <xf numFmtId="44" fontId="17" fillId="8" borderId="24" xfId="2" applyFont="1" applyFill="1" applyBorder="1" applyProtection="1"/>
    <xf numFmtId="0" fontId="35" fillId="0" borderId="0" xfId="0" applyFont="1" applyAlignment="1" applyProtection="1">
      <alignment horizontal="right" vertical="top"/>
    </xf>
    <xf numFmtId="0" fontId="18" fillId="6" borderId="0" xfId="0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33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center" vertical="center"/>
    </xf>
    <xf numFmtId="0" fontId="31" fillId="0" borderId="37" xfId="0" applyFont="1" applyBorder="1" applyAlignment="1" applyProtection="1">
      <alignment horizontal="right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30" fillId="5" borderId="7" xfId="0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14" fillId="10" borderId="0" xfId="0" applyFont="1" applyFill="1" applyAlignment="1" applyProtection="1">
      <alignment horizontal="center" vertical="center"/>
    </xf>
    <xf numFmtId="0" fontId="34" fillId="0" borderId="0" xfId="0" applyFont="1" applyAlignment="1" applyProtection="1">
      <alignment horizontal="right" vertic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</cellXfs>
  <cellStyles count="8"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2500297</xdr:colOff>
      <xdr:row>2</xdr:row>
      <xdr:rowOff>408215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502113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view="pageBreakPreview" zoomScale="70" zoomScaleNormal="90" zoomScaleSheetLayoutView="70" workbookViewId="0">
      <selection activeCell="D4" sqref="D4"/>
    </sheetView>
  </sheetViews>
  <sheetFormatPr defaultColWidth="8.88671875" defaultRowHeight="15.75" x14ac:dyDescent="0.3"/>
  <cols>
    <col min="1" max="1" width="20.33203125" style="1" customWidth="1"/>
    <col min="2" max="2" width="3.33203125" style="1" customWidth="1"/>
    <col min="3" max="3" width="21.88671875" style="1" customWidth="1"/>
    <col min="4" max="4" width="31" style="1" customWidth="1"/>
    <col min="5" max="5" width="12.88671875" style="1" customWidth="1"/>
    <col min="6" max="6" width="13.5546875" style="1" bestFit="1" customWidth="1"/>
    <col min="7" max="7" width="3.88671875" customWidth="1"/>
    <col min="8" max="8" width="30.21875" style="1" customWidth="1"/>
    <col min="9" max="16384" width="8.88671875" style="1"/>
  </cols>
  <sheetData>
    <row r="1" spans="1:13" ht="21" customHeight="1" x14ac:dyDescent="0.3">
      <c r="A1" s="81" t="s">
        <v>221</v>
      </c>
      <c r="B1" s="75"/>
      <c r="C1" s="80"/>
      <c r="D1" s="75"/>
      <c r="E1" s="75"/>
      <c r="F1" s="75"/>
      <c r="H1" s="75"/>
    </row>
    <row r="2" spans="1:13" ht="16.5" x14ac:dyDescent="0.3">
      <c r="A2" s="154" t="str">
        <f>INDEX(BasicLookupData!I2:I5,MATCH(Estimate!F4,BasicLookupData!H2:H5,0))</f>
        <v xml:space="preserve"> Form # 2</v>
      </c>
      <c r="B2" s="154"/>
      <c r="C2" s="154"/>
      <c r="E2" s="15"/>
      <c r="F2" s="14"/>
      <c r="H2" s="14"/>
      <c r="I2" s="14"/>
      <c r="J2" s="14"/>
      <c r="K2" s="14"/>
      <c r="L2" s="14"/>
      <c r="M2" s="14"/>
    </row>
    <row r="3" spans="1:13" ht="40.5" customHeight="1" x14ac:dyDescent="0.3">
      <c r="A3" s="153" t="str">
        <f>INDEX(BasicLookupData!J2:J5,MATCH(Estimate!F4,BasicLookupData!H2:H5,0))</f>
        <v xml:space="preserve"> SFY 18/19: Q2 Oct - Nov - Dec
 CFY 18/19: Q1 Oct - Nov - Dec</v>
      </c>
      <c r="B3" s="153"/>
      <c r="C3" s="153"/>
      <c r="E3" s="15"/>
      <c r="F3" s="14"/>
      <c r="H3" s="14"/>
      <c r="I3" s="14"/>
      <c r="J3" s="14"/>
      <c r="K3" s="14"/>
      <c r="L3" s="14"/>
      <c r="M3" s="14"/>
    </row>
    <row r="4" spans="1:13" ht="39.75" customHeight="1" x14ac:dyDescent="0.3">
      <c r="A4" s="159" t="str">
        <f>IF(ISBLANK(D4),"For additional information or instructions regarding this form, please check our website for the Jury Management Estimate Procedures documentation.","")</f>
        <v>For additional information or instructions regarding this form, please check our website for the Jury Management Estimate Procedures documentation.</v>
      </c>
      <c r="B4" s="159"/>
      <c r="C4" s="16" t="s">
        <v>101</v>
      </c>
      <c r="D4" s="17"/>
      <c r="E4" s="16" t="s">
        <v>190</v>
      </c>
      <c r="F4" s="59" t="s">
        <v>216</v>
      </c>
      <c r="H4" s="149" t="s">
        <v>287</v>
      </c>
      <c r="I4" s="14"/>
      <c r="J4" s="14"/>
      <c r="K4" s="14"/>
      <c r="L4" s="14"/>
      <c r="M4" s="14"/>
    </row>
    <row r="5" spans="1:13" ht="22.5" customHeight="1" x14ac:dyDescent="0.3">
      <c r="A5" s="159"/>
      <c r="B5" s="159"/>
      <c r="C5" s="16" t="s">
        <v>102</v>
      </c>
      <c r="D5" s="58"/>
      <c r="E5" s="16" t="s">
        <v>211</v>
      </c>
      <c r="F5" s="17">
        <v>1</v>
      </c>
      <c r="H5" s="14"/>
      <c r="I5" s="14"/>
      <c r="J5" s="14"/>
      <c r="K5" s="14"/>
      <c r="L5" s="14"/>
      <c r="M5" s="14"/>
    </row>
    <row r="6" spans="1:13" ht="31.5" customHeight="1" x14ac:dyDescent="0.3">
      <c r="A6" s="159"/>
      <c r="B6" s="159"/>
      <c r="C6" s="16" t="s">
        <v>103</v>
      </c>
      <c r="D6" s="71"/>
      <c r="H6" s="14"/>
      <c r="I6" s="14"/>
      <c r="J6" s="14"/>
      <c r="K6" s="14"/>
      <c r="L6" s="14"/>
      <c r="M6" s="14"/>
    </row>
    <row r="7" spans="1:13" ht="24" customHeight="1" x14ac:dyDescent="0.3">
      <c r="I7" s="14"/>
    </row>
    <row r="8" spans="1:13" ht="21" x14ac:dyDescent="0.3">
      <c r="B8" s="23" t="s">
        <v>0</v>
      </c>
      <c r="D8" s="3"/>
      <c r="E8" s="3"/>
    </row>
    <row r="9" spans="1:13" ht="32.25" customHeight="1" x14ac:dyDescent="0.3">
      <c r="C9" s="155" t="s">
        <v>117</v>
      </c>
      <c r="D9" s="155"/>
      <c r="F9" s="28"/>
    </row>
    <row r="10" spans="1:13" ht="15.75" customHeight="1" x14ac:dyDescent="0.35">
      <c r="C10" s="22"/>
      <c r="D10" s="4"/>
    </row>
    <row r="11" spans="1:13" ht="21" x14ac:dyDescent="0.3">
      <c r="B11" s="23" t="s">
        <v>80</v>
      </c>
      <c r="D11" s="3"/>
      <c r="E11" s="3"/>
    </row>
    <row r="12" spans="1:13" ht="21" customHeight="1" x14ac:dyDescent="0.35">
      <c r="C12" s="155" t="s">
        <v>79</v>
      </c>
      <c r="D12" s="155"/>
      <c r="E12" s="5"/>
      <c r="F12" s="1" t="s">
        <v>200</v>
      </c>
    </row>
    <row r="13" spans="1:13" ht="10.5" customHeight="1" x14ac:dyDescent="0.35">
      <c r="C13" s="6"/>
      <c r="D13" s="4"/>
      <c r="E13" s="5"/>
    </row>
    <row r="14" spans="1:13" ht="21.75" customHeight="1" x14ac:dyDescent="0.3">
      <c r="D14" s="22" t="s">
        <v>1</v>
      </c>
      <c r="F14" s="28"/>
    </row>
    <row r="15" spans="1:13" ht="21.75" customHeight="1" x14ac:dyDescent="0.35">
      <c r="C15" s="7"/>
      <c r="D15" s="22" t="s">
        <v>12</v>
      </c>
      <c r="F15" s="29"/>
    </row>
    <row r="16" spans="1:13" ht="21.75" customHeight="1" x14ac:dyDescent="0.35">
      <c r="C16" s="7"/>
      <c r="D16" s="22" t="s">
        <v>13</v>
      </c>
      <c r="F16" s="28"/>
    </row>
    <row r="17" spans="2:6" ht="11.25" customHeight="1" x14ac:dyDescent="0.35">
      <c r="C17" s="7"/>
      <c r="D17" s="22"/>
      <c r="E17" s="5"/>
    </row>
    <row r="18" spans="2:6" ht="21.75" customHeight="1" x14ac:dyDescent="0.35">
      <c r="C18" s="7"/>
      <c r="D18" s="22" t="s">
        <v>14</v>
      </c>
      <c r="E18" s="4"/>
      <c r="F18" s="29"/>
    </row>
    <row r="19" spans="2:6" ht="21.75" thickBot="1" x14ac:dyDescent="0.4">
      <c r="C19" s="7"/>
      <c r="D19" s="158"/>
      <c r="E19" s="158"/>
    </row>
    <row r="20" spans="2:6" ht="22.5" thickTop="1" thickBot="1" x14ac:dyDescent="0.4">
      <c r="C20" s="4"/>
      <c r="D20" s="26"/>
      <c r="E20" s="25" t="s">
        <v>118</v>
      </c>
      <c r="F20" s="30">
        <f>SUM(F18,F14:F16)</f>
        <v>0</v>
      </c>
    </row>
    <row r="21" spans="2:6" ht="10.5" customHeight="1" thickTop="1" x14ac:dyDescent="0.35">
      <c r="E21" s="8"/>
    </row>
    <row r="22" spans="2:6" ht="21" customHeight="1" x14ac:dyDescent="0.3">
      <c r="B22" s="23" t="s">
        <v>2</v>
      </c>
      <c r="D22" s="3"/>
      <c r="E22" s="9"/>
    </row>
    <row r="23" spans="2:6" ht="19.5" customHeight="1" x14ac:dyDescent="0.35">
      <c r="C23" s="157" t="s">
        <v>3</v>
      </c>
      <c r="D23" s="157"/>
      <c r="E23" s="10"/>
    </row>
    <row r="24" spans="2:6" ht="21.75" customHeight="1" x14ac:dyDescent="0.35">
      <c r="C24" s="7"/>
      <c r="D24" s="24">
        <v>15</v>
      </c>
      <c r="F24" s="29"/>
    </row>
    <row r="25" spans="2:6" ht="21.75" customHeight="1" x14ac:dyDescent="0.35">
      <c r="C25" s="7"/>
      <c r="D25" s="24">
        <v>30</v>
      </c>
      <c r="F25" s="28"/>
    </row>
    <row r="26" spans="2:6" ht="21.75" customHeight="1" x14ac:dyDescent="0.35">
      <c r="C26" s="7"/>
      <c r="D26" s="24" t="s">
        <v>4</v>
      </c>
      <c r="F26" s="29"/>
    </row>
    <row r="27" spans="2:6" ht="21.75" thickBot="1" x14ac:dyDescent="0.4">
      <c r="C27" s="7"/>
      <c r="D27" s="12"/>
      <c r="E27" s="10"/>
    </row>
    <row r="28" spans="2:6" ht="22.5" thickTop="1" thickBot="1" x14ac:dyDescent="0.4">
      <c r="C28" s="7"/>
      <c r="E28" s="20" t="s">
        <v>119</v>
      </c>
      <c r="F28" s="30">
        <f>SUM(F24:F26)</f>
        <v>0</v>
      </c>
    </row>
    <row r="29" spans="2:6" ht="21.75" thickTop="1" x14ac:dyDescent="0.35">
      <c r="C29" s="7"/>
      <c r="D29" s="4"/>
      <c r="E29" s="10"/>
    </row>
    <row r="30" spans="2:6" ht="24" customHeight="1" x14ac:dyDescent="0.35">
      <c r="C30" s="157" t="s">
        <v>5</v>
      </c>
      <c r="D30" s="157"/>
      <c r="E30" s="10"/>
    </row>
    <row r="31" spans="2:6" ht="21.75" customHeight="1" x14ac:dyDescent="0.35">
      <c r="C31" s="4"/>
      <c r="D31" s="24">
        <v>15</v>
      </c>
      <c r="F31" s="29"/>
    </row>
    <row r="32" spans="2:6" ht="21.75" customHeight="1" x14ac:dyDescent="0.35">
      <c r="C32" s="4"/>
      <c r="D32" s="24">
        <v>30</v>
      </c>
      <c r="F32" s="28"/>
    </row>
    <row r="33" spans="2:8" ht="21.75" customHeight="1" x14ac:dyDescent="0.35">
      <c r="C33" s="4"/>
      <c r="D33" s="24" t="s">
        <v>4</v>
      </c>
      <c r="F33" s="29"/>
    </row>
    <row r="34" spans="2:8" ht="21.75" thickBot="1" x14ac:dyDescent="0.4">
      <c r="C34" s="4"/>
      <c r="D34" s="11"/>
      <c r="E34" s="10"/>
    </row>
    <row r="35" spans="2:8" ht="22.5" thickTop="1" thickBot="1" x14ac:dyDescent="0.4">
      <c r="C35" s="4"/>
      <c r="E35" s="20" t="s">
        <v>120</v>
      </c>
      <c r="F35" s="30">
        <f>SUM(F31:F33)</f>
        <v>0</v>
      </c>
    </row>
    <row r="36" spans="2:8" ht="20.25" thickTop="1" x14ac:dyDescent="0.35">
      <c r="C36" s="157" t="s">
        <v>6</v>
      </c>
      <c r="D36" s="157"/>
      <c r="E36" s="10"/>
    </row>
    <row r="37" spans="2:8" ht="21.75" customHeight="1" x14ac:dyDescent="0.35">
      <c r="C37" s="4"/>
      <c r="D37" s="24" t="s">
        <v>7</v>
      </c>
      <c r="F37" s="28"/>
    </row>
    <row r="38" spans="2:8" ht="21.75" customHeight="1" x14ac:dyDescent="0.35">
      <c r="C38" s="4"/>
      <c r="D38" s="24" t="s">
        <v>8</v>
      </c>
      <c r="F38" s="29"/>
    </row>
    <row r="39" spans="2:8" ht="21.75" customHeight="1" x14ac:dyDescent="0.35">
      <c r="C39" s="4"/>
      <c r="D39" s="24" t="s">
        <v>9</v>
      </c>
      <c r="F39" s="28"/>
    </row>
    <row r="40" spans="2:8" ht="21.75" customHeight="1" x14ac:dyDescent="0.35">
      <c r="C40" s="4"/>
      <c r="D40" s="24" t="s">
        <v>214</v>
      </c>
      <c r="F40" s="29">
        <v>0</v>
      </c>
    </row>
    <row r="41" spans="2:8" ht="21.75" thickBot="1" x14ac:dyDescent="0.4">
      <c r="C41" s="4"/>
      <c r="D41" s="4"/>
      <c r="E41" s="10"/>
    </row>
    <row r="42" spans="2:8" ht="22.5" thickTop="1" thickBot="1" x14ac:dyDescent="0.4">
      <c r="C42" s="4"/>
      <c r="E42" s="20" t="s">
        <v>121</v>
      </c>
      <c r="F42" s="30">
        <f>SUM(F37:F40)</f>
        <v>0</v>
      </c>
    </row>
    <row r="43" spans="2:8" ht="21.75" thickTop="1" x14ac:dyDescent="0.35">
      <c r="C43" s="4"/>
      <c r="D43" s="4"/>
      <c r="E43" s="10"/>
    </row>
    <row r="44" spans="2:8" ht="21.75" customHeight="1" x14ac:dyDescent="0.3">
      <c r="C44" s="27" t="s">
        <v>10</v>
      </c>
      <c r="D44" s="27"/>
      <c r="E44" s="20" t="s">
        <v>122</v>
      </c>
      <c r="F44" s="28"/>
    </row>
    <row r="45" spans="2:8" ht="21.75" thickBot="1" x14ac:dyDescent="0.4">
      <c r="C45" s="2"/>
      <c r="D45" s="4"/>
      <c r="E45" s="10"/>
    </row>
    <row r="46" spans="2:8" ht="22.5" thickTop="1" thickBot="1" x14ac:dyDescent="0.4">
      <c r="C46" s="4"/>
      <c r="E46" s="25" t="s">
        <v>123</v>
      </c>
      <c r="F46" s="31">
        <f>F44+F42+F35+F28</f>
        <v>0</v>
      </c>
      <c r="H46" s="151" t="str">
        <f>IF(F48=0,"",IF(ABS(PriorActualsData!I1)&gt;PriorActualsData!B1,"Total Estimated Jury Management Cost is greather than +/- "&amp;TEXT(PriorActualsData!B1,"##.0%")&amp;" of previous "&amp;PriorActualsData!D1&amp;" Expenditures.",""))</f>
        <v/>
      </c>
    </row>
    <row r="47" spans="2:8" ht="22.5" customHeight="1" thickTop="1" thickBot="1" x14ac:dyDescent="0.35">
      <c r="C47" s="33" t="s">
        <v>99</v>
      </c>
      <c r="H47" s="151"/>
    </row>
    <row r="48" spans="2:8" ht="26.25" customHeight="1" thickTop="1" thickBot="1" x14ac:dyDescent="0.4">
      <c r="B48" s="156" t="s">
        <v>96</v>
      </c>
      <c r="C48" s="156"/>
      <c r="D48" s="156"/>
      <c r="E48" s="156"/>
      <c r="F48" s="32">
        <f>F46+F20+F9</f>
        <v>0</v>
      </c>
      <c r="H48" s="151"/>
    </row>
    <row r="49" spans="2:8" ht="16.5" thickTop="1" x14ac:dyDescent="0.3">
      <c r="F49" s="79" t="s">
        <v>125</v>
      </c>
    </row>
    <row r="51" spans="2:8" x14ac:dyDescent="0.3">
      <c r="B51" s="53"/>
      <c r="C51" s="55" t="s">
        <v>97</v>
      </c>
      <c r="D51" s="53"/>
      <c r="E51" s="53"/>
      <c r="F51" s="53"/>
      <c r="H51" s="53"/>
    </row>
    <row r="52" spans="2:8" ht="21.75" customHeight="1" x14ac:dyDescent="0.3">
      <c r="B52" s="53"/>
      <c r="C52" s="52"/>
      <c r="D52" s="53"/>
      <c r="E52" s="54" t="s">
        <v>201</v>
      </c>
      <c r="F52" s="63">
        <f>IFERROR(IF(EstimatingTool!F26&gt;0,EstimatingTool!F26,0),0)</f>
        <v>0</v>
      </c>
      <c r="H52" s="150" t="str">
        <f>IF(OR(ISBLANK(EstimatingTool!D20),ISBLANK(EstimatingTool!D21)),"Dollar amounts have not been entered on the EstimatingTool Worksheet for the actual expenditures. Please see the EstimatingTool tab for further information.","")</f>
        <v>Dollar amounts have not been entered on the EstimatingTool Worksheet for the actual expenditures. Please see the EstimatingTool tab for further information.</v>
      </c>
    </row>
    <row r="53" spans="2:8" x14ac:dyDescent="0.3">
      <c r="B53" s="53"/>
      <c r="C53" s="52"/>
      <c r="D53" s="53"/>
      <c r="E53" s="53"/>
      <c r="F53" s="53"/>
      <c r="H53" s="150"/>
    </row>
    <row r="54" spans="2:8" ht="21.75" customHeight="1" x14ac:dyDescent="0.3">
      <c r="B54" s="53"/>
      <c r="C54" s="55" t="s">
        <v>98</v>
      </c>
      <c r="D54" s="53"/>
      <c r="E54" s="53"/>
      <c r="F54" s="53"/>
      <c r="H54" s="150"/>
    </row>
    <row r="55" spans="2:8" ht="21.75" customHeight="1" x14ac:dyDescent="0.3">
      <c r="B55" s="53"/>
      <c r="C55" s="52"/>
      <c r="D55" s="53"/>
      <c r="E55" s="54" t="s">
        <v>202</v>
      </c>
      <c r="F55" s="63">
        <f>IFERROR(IF(EstimatingTool!F26&lt;0,-1*EstimatingTool!F26,0),0)</f>
        <v>0</v>
      </c>
      <c r="H55" s="150"/>
    </row>
    <row r="56" spans="2:8" ht="16.5" thickBot="1" x14ac:dyDescent="0.35">
      <c r="B56" s="53"/>
      <c r="C56" s="53"/>
      <c r="D56" s="53"/>
      <c r="E56" s="53"/>
      <c r="F56" s="53"/>
      <c r="H56" s="150"/>
    </row>
    <row r="57" spans="2:8" ht="25.5" thickTop="1" thickBot="1" x14ac:dyDescent="0.4">
      <c r="B57" s="156" t="s">
        <v>100</v>
      </c>
      <c r="C57" s="156"/>
      <c r="D57" s="156"/>
      <c r="E57" s="156"/>
      <c r="F57" s="32">
        <f>IFERROR(IF(F48-F52+F55&lt;0,0,F48-F52+F55),0)</f>
        <v>0</v>
      </c>
    </row>
    <row r="58" spans="2:8" ht="16.5" thickTop="1" x14ac:dyDescent="0.3">
      <c r="F58" s="79" t="s">
        <v>124</v>
      </c>
    </row>
    <row r="60" spans="2:8" x14ac:dyDescent="0.3">
      <c r="B60" s="34" t="s">
        <v>15</v>
      </c>
      <c r="H60"/>
    </row>
    <row r="61" spans="2:8" ht="29.25" customHeight="1" x14ac:dyDescent="0.3">
      <c r="B61" s="82">
        <v>1</v>
      </c>
      <c r="C61" s="152" t="s">
        <v>212</v>
      </c>
      <c r="D61" s="152"/>
      <c r="E61" s="152"/>
      <c r="F61" s="152"/>
      <c r="H61"/>
    </row>
    <row r="62" spans="2:8" ht="18" x14ac:dyDescent="0.3">
      <c r="B62" s="82">
        <v>2</v>
      </c>
      <c r="C62" s="21" t="s">
        <v>213</v>
      </c>
      <c r="H62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psI7GNhWzempBwwNlrqMDmvyjPv+pEfQspxmFPiV8DmgQnwaBydHGHSs4uDw2rfaz1pzzfJKXTcmqj5Tr0DjvQ==" saltValue="hYeN1jOMQqu8Wh1N8riSew==" spinCount="100000" sheet="1" formatColumns="0" formatRows="0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52">
    <cfRule type="expression" dxfId="4" priority="5">
      <formula>$F$55&gt;0</formula>
    </cfRule>
  </conditionalFormatting>
  <conditionalFormatting sqref="F55">
    <cfRule type="expression" dxfId="3" priority="4">
      <formula>$F$52&gt;0</formula>
    </cfRule>
  </conditionalFormatting>
  <conditionalFormatting sqref="F48">
    <cfRule type="expression" dxfId="2" priority="1">
      <formula>$H$46&lt;&gt;""</formula>
    </cfRule>
  </conditionalFormatting>
  <dataValidations count="4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custom" operator="greaterThanOrEqual" showErrorMessage="1" errorTitle="ERROR" error="There are dollars listed in the Unexpended field or you have entered an invalid amount (&lt;0). " promptTitle="Previous Dollars" prompt="Enter a dollar amount for EITHER Unexpended or Insufficient. It is not possible to have dollars in both." sqref="F55" xr:uid="{00000000-0002-0000-0000-000001000000}">
      <formula1>OR(AND(ISNUMBER(F55),F52=0,F55&gt;=0),F55=0)</formula1>
    </dataValidation>
    <dataValidation type="custom" operator="greaterThanOrEqual" showErrorMessage="1" errorTitle="ERROR" error="There are dollars listed in the Insufficient field or you have entered an invalid amount (&lt;0)." promptTitle="Previous Dollars" prompt="Enter a dollar amount for EITHER Unexpended or Insufficient. It is not possible to have dollars in both." sqref="F52" xr:uid="{00000000-0002-0000-0000-000002000000}">
      <formula1>OR(AND(UnExpendedAmount&gt;=0,ISNUMBER(UnExpendedAmount),OR(ISBLANK(F55),F55=0)),F52=0)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printOptions horizontalCentered="1" verticalCentered="1"/>
  <pageMargins left="0.25" right="0.25" top="0.5" bottom="0.5" header="0.25" footer="0.25"/>
  <pageSetup scale="57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xr:uid="{00000000-0002-0000-0000-000006000000}">
          <x14:formula1>
            <xm:f>BasicLookupData!$D$2:$D$68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2"/>
  <sheetViews>
    <sheetView showGridLines="0" view="pageBreakPreview" topLeftCell="A7" zoomScale="70" zoomScaleNormal="90" zoomScaleSheetLayoutView="70" zoomScalePageLayoutView="70" workbookViewId="0">
      <selection activeCell="D20" sqref="D20"/>
    </sheetView>
  </sheetViews>
  <sheetFormatPr defaultColWidth="8.88671875" defaultRowHeight="15.75" x14ac:dyDescent="0.3"/>
  <cols>
    <col min="1" max="1" width="9.109375" style="1" customWidth="1"/>
    <col min="2" max="2" width="16.77734375" style="1" bestFit="1" customWidth="1"/>
    <col min="3" max="3" width="47" style="1" customWidth="1"/>
    <col min="4" max="4" width="15.88671875" style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78" t="s">
        <v>196</v>
      </c>
      <c r="B1" s="75"/>
      <c r="C1" s="75"/>
      <c r="D1" s="75"/>
    </row>
    <row r="2" spans="1:12" ht="16.5" x14ac:dyDescent="0.3">
      <c r="A2" s="154" t="str">
        <f>Estimate!A2</f>
        <v xml:space="preserve"> Form # 2</v>
      </c>
      <c r="B2" s="154"/>
      <c r="C2" s="76"/>
      <c r="D2" s="77"/>
      <c r="G2" s="14"/>
      <c r="H2" s="14"/>
      <c r="I2" s="14"/>
      <c r="J2" s="14"/>
      <c r="K2" s="14"/>
      <c r="L2" s="14"/>
    </row>
    <row r="3" spans="1:12" ht="35.25" customHeight="1" x14ac:dyDescent="0.3">
      <c r="A3" s="169" t="str">
        <f>Estimate!A3</f>
        <v xml:space="preserve"> SFY 18/19: Q2 Oct - Nov - Dec
 CFY 18/19: Q1 Oct - Nov - Dec</v>
      </c>
      <c r="B3" s="169"/>
      <c r="C3" s="169"/>
      <c r="D3" s="77"/>
      <c r="E3" s="73"/>
      <c r="F3" s="73"/>
      <c r="G3" s="14"/>
      <c r="H3" s="14"/>
      <c r="I3" s="14"/>
      <c r="J3" s="14"/>
      <c r="K3" s="14"/>
      <c r="L3" s="14"/>
    </row>
    <row r="4" spans="1:12" ht="31.5" customHeight="1" x14ac:dyDescent="0.3">
      <c r="B4" s="73"/>
      <c r="C4" s="73"/>
      <c r="D4" s="74"/>
      <c r="F4" s="168" t="str">
        <f>Estimate!H4</f>
        <v>CCOC Form Version 9
Created 08/14/18</v>
      </c>
      <c r="G4" s="168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3">
      <c r="B6" s="16" t="s">
        <v>101</v>
      </c>
      <c r="C6" s="59" t="str">
        <f>IF(ISBLANK(Estimate!D4),"",Estimate!D4)</f>
        <v/>
      </c>
      <c r="D6" s="16" t="s">
        <v>190</v>
      </c>
      <c r="E6" s="59" t="str">
        <f>Estimate!F4</f>
        <v>Oct - Nov - Dec</v>
      </c>
    </row>
    <row r="7" spans="1:12" ht="22.5" customHeight="1" x14ac:dyDescent="0.3"/>
    <row r="8" spans="1:12" ht="16.5" x14ac:dyDescent="0.3">
      <c r="A8" s="171" t="s">
        <v>204</v>
      </c>
      <c r="B8" s="171"/>
      <c r="C8" s="170" t="s">
        <v>210</v>
      </c>
      <c r="D8" s="170"/>
      <c r="E8" s="170"/>
    </row>
    <row r="9" spans="1:12" ht="16.5" x14ac:dyDescent="0.3">
      <c r="B9" s="60"/>
      <c r="C9" s="60"/>
    </row>
    <row r="10" spans="1:12" ht="16.5" x14ac:dyDescent="0.3">
      <c r="B10" s="60"/>
      <c r="C10" s="61" t="str">
        <f>"Estimating Quarter "&amp;E6&amp;":"</f>
        <v>Estimating Quarter Oct - Nov - Dec:</v>
      </c>
      <c r="D10" s="22"/>
      <c r="F10" s="145">
        <f>Estimate!F48</f>
        <v>0</v>
      </c>
    </row>
    <row r="11" spans="1:12" ht="16.5" x14ac:dyDescent="0.3">
      <c r="B11" s="60"/>
      <c r="C11" s="61"/>
      <c r="D11" s="22"/>
    </row>
    <row r="12" spans="1:12" ht="16.5" x14ac:dyDescent="0.3">
      <c r="B12" s="137" t="s">
        <v>285</v>
      </c>
      <c r="C12" s="142"/>
      <c r="D12" s="22"/>
      <c r="E12" s="22"/>
    </row>
    <row r="13" spans="1:12" ht="16.5" x14ac:dyDescent="0.3">
      <c r="B13" s="60" t="s">
        <v>200</v>
      </c>
      <c r="C13" s="61" t="s">
        <v>267</v>
      </c>
      <c r="D13" s="22"/>
      <c r="E13" s="145">
        <f>IFERROR(INDEX('JAC Lookup'!B5:B71,MATCH(C6,'JAC Lookup'!A5:A71,0)),0)</f>
        <v>0</v>
      </c>
    </row>
    <row r="14" spans="1:12" ht="16.5" x14ac:dyDescent="0.3">
      <c r="B14" s="60"/>
      <c r="C14" s="61" t="s">
        <v>278</v>
      </c>
      <c r="D14" s="22"/>
      <c r="E14" s="145">
        <f>IFERROR(INDEX(PriorActualsData!K3:K69,MATCH(C6,PriorActualsData!A3:A69,0)),0)</f>
        <v>0</v>
      </c>
    </row>
    <row r="15" spans="1:12" ht="17.25" thickBot="1" x14ac:dyDescent="0.35">
      <c r="B15" s="60"/>
      <c r="C15" s="140" t="s">
        <v>268</v>
      </c>
      <c r="D15" s="140"/>
      <c r="E15" s="146">
        <f>E13-E14</f>
        <v>0</v>
      </c>
    </row>
    <row r="16" spans="1:12" ht="16.5" x14ac:dyDescent="0.3">
      <c r="B16" s="60"/>
      <c r="C16" s="140"/>
      <c r="D16" s="140"/>
      <c r="E16" s="148" t="str">
        <f>IF(E15&gt;0,"Under-Expended","Over-Expended")</f>
        <v>Over-Expended</v>
      </c>
    </row>
    <row r="17" spans="1:7" ht="16.5" x14ac:dyDescent="0.3">
      <c r="B17" s="137" t="s">
        <v>284</v>
      </c>
      <c r="C17" s="142"/>
      <c r="D17" s="22"/>
      <c r="E17" s="22"/>
    </row>
    <row r="18" spans="1:7" ht="16.5" x14ac:dyDescent="0.3">
      <c r="B18" s="60" t="s">
        <v>200</v>
      </c>
      <c r="C18" s="61" t="s">
        <v>269</v>
      </c>
      <c r="D18" s="22"/>
      <c r="E18" s="145">
        <f>IFERROR(INDEX('JAC Lookup'!C5:C71,MATCH(C6,'JAC Lookup'!A5:A71,0)),0)</f>
        <v>0</v>
      </c>
    </row>
    <row r="19" spans="1:7" ht="16.5" x14ac:dyDescent="0.3">
      <c r="B19" s="60"/>
      <c r="C19" s="143" t="s">
        <v>279</v>
      </c>
      <c r="D19" s="22"/>
      <c r="E19" s="139"/>
    </row>
    <row r="20" spans="1:7" ht="16.5" x14ac:dyDescent="0.3">
      <c r="B20" s="60"/>
      <c r="C20" s="145" t="s">
        <v>270</v>
      </c>
      <c r="D20" s="138"/>
      <c r="E20" s="139"/>
    </row>
    <row r="21" spans="1:7" ht="16.5" x14ac:dyDescent="0.3">
      <c r="B21" s="60"/>
      <c r="C21" s="145" t="s">
        <v>271</v>
      </c>
      <c r="D21" s="144"/>
      <c r="E21" s="145">
        <f>SUM(D20:D21)</f>
        <v>0</v>
      </c>
    </row>
    <row r="22" spans="1:7" ht="17.25" thickBot="1" x14ac:dyDescent="0.35">
      <c r="B22" s="60"/>
      <c r="C22" s="160" t="s">
        <v>272</v>
      </c>
      <c r="D22" s="160"/>
      <c r="E22" s="146">
        <f>E18-E21</f>
        <v>0</v>
      </c>
    </row>
    <row r="23" spans="1:7" ht="16.5" x14ac:dyDescent="0.3">
      <c r="B23" s="137" t="s">
        <v>273</v>
      </c>
      <c r="C23" s="140"/>
      <c r="D23" s="140"/>
      <c r="E23" s="148" t="str">
        <f>IF(E22&gt;0,"Under-Expended","Over-Expended")</f>
        <v>Over-Expended</v>
      </c>
    </row>
    <row r="24" spans="1:7" ht="16.5" x14ac:dyDescent="0.3">
      <c r="B24" s="60" t="s">
        <v>274</v>
      </c>
      <c r="C24" s="141" t="s">
        <v>276</v>
      </c>
      <c r="E24" s="145">
        <f>+E15</f>
        <v>0</v>
      </c>
    </row>
    <row r="25" spans="1:7" ht="16.5" x14ac:dyDescent="0.3">
      <c r="B25" s="60" t="s">
        <v>275</v>
      </c>
      <c r="C25" s="141" t="s">
        <v>277</v>
      </c>
      <c r="E25" s="145">
        <f>+E22</f>
        <v>0</v>
      </c>
    </row>
    <row r="26" spans="1:7" ht="16.5" x14ac:dyDescent="0.3">
      <c r="B26" s="60"/>
      <c r="C26" s="160" t="s">
        <v>280</v>
      </c>
      <c r="D26" s="160"/>
      <c r="E26" s="162"/>
      <c r="F26" s="145">
        <f>SUM(E24:E25)</f>
        <v>0</v>
      </c>
    </row>
    <row r="27" spans="1:7" ht="16.5" x14ac:dyDescent="0.3">
      <c r="B27" s="60"/>
      <c r="C27" s="61"/>
      <c r="F27" s="148" t="str">
        <f>IF(F26&gt;0,"Under-Expended","Over-Expended")</f>
        <v>Over-Expended</v>
      </c>
    </row>
    <row r="28" spans="1:7" ht="17.25" thickBot="1" x14ac:dyDescent="0.35">
      <c r="B28" s="60"/>
      <c r="D28" s="161" t="s">
        <v>286</v>
      </c>
      <c r="E28" s="161"/>
      <c r="F28" s="147">
        <f>F10-F26</f>
        <v>0</v>
      </c>
    </row>
    <row r="29" spans="1:7" ht="17.25" thickTop="1" x14ac:dyDescent="0.3">
      <c r="B29" s="60"/>
      <c r="C29" s="70"/>
      <c r="D29" s="70"/>
      <c r="E29" s="62"/>
    </row>
    <row r="30" spans="1:7" ht="16.5" thickBot="1" x14ac:dyDescent="0.35">
      <c r="A30" s="123"/>
      <c r="B30" s="124"/>
      <c r="C30" s="124"/>
      <c r="D30" s="124"/>
      <c r="E30" s="124"/>
      <c r="F30" s="123"/>
      <c r="G30" s="123"/>
    </row>
    <row r="31" spans="1:7" ht="16.5" thickBot="1" x14ac:dyDescent="0.35">
      <c r="A31" s="165" t="s">
        <v>249</v>
      </c>
      <c r="B31" s="166"/>
      <c r="C31" s="166"/>
      <c r="D31" s="166"/>
      <c r="E31" s="166"/>
      <c r="F31" s="166"/>
      <c r="G31" s="167"/>
    </row>
    <row r="32" spans="1:7" ht="185.25" customHeight="1" thickBot="1" x14ac:dyDescent="0.35">
      <c r="A32" s="125" t="s">
        <v>249</v>
      </c>
      <c r="B32" s="163"/>
      <c r="C32" s="163"/>
      <c r="D32" s="163"/>
      <c r="E32" s="163"/>
      <c r="F32" s="163"/>
      <c r="G32" s="164"/>
    </row>
  </sheetData>
  <sheetProtection algorithmName="SHA-512" hashValue="6vN4pnRNMXorB70cy02dfxvEIypdnRlbTB6oqhch4cUB8CFUnjcGWl1mwOvVNzGMaxHP92YPuPc6//tB/Rpc6A==" saltValue="ynaQpMPHfKEjsVz1zIabkg==" spinCount="100000" sheet="1" objects="1" scenarios="1"/>
  <mergeCells count="10">
    <mergeCell ref="F4:G4"/>
    <mergeCell ref="A2:B2"/>
    <mergeCell ref="A3:C3"/>
    <mergeCell ref="C8:E8"/>
    <mergeCell ref="A8:B8"/>
    <mergeCell ref="C22:D22"/>
    <mergeCell ref="D28:E28"/>
    <mergeCell ref="C26:E26"/>
    <mergeCell ref="B32:G32"/>
    <mergeCell ref="A31:G31"/>
  </mergeCells>
  <dataValidations xWindow="533" yWindow="427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61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33" yWindow="427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W72"/>
  <sheetViews>
    <sheetView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12" sqref="D12"/>
    </sheetView>
  </sheetViews>
  <sheetFormatPr defaultRowHeight="15.75" x14ac:dyDescent="0.3"/>
  <cols>
    <col min="1" max="1" width="11.77734375" style="66" customWidth="1"/>
    <col min="2" max="2" width="23.109375" style="65" customWidth="1"/>
    <col min="3" max="3" width="21.33203125" style="65" customWidth="1"/>
    <col min="4" max="4" width="20.6640625" style="65" customWidth="1"/>
    <col min="5" max="5" width="20.109375" style="65" customWidth="1"/>
    <col min="6" max="6" width="17.21875" style="65" customWidth="1"/>
    <col min="7" max="7" width="16.109375" style="65" customWidth="1"/>
    <col min="8" max="16384" width="8.88671875" style="65"/>
  </cols>
  <sheetData>
    <row r="1" spans="1:699" x14ac:dyDescent="0.3">
      <c r="A1" s="84" t="s">
        <v>205</v>
      </c>
      <c r="B1" s="72"/>
      <c r="C1" s="72"/>
      <c r="D1" s="72"/>
      <c r="E1" s="72"/>
      <c r="F1" s="72"/>
    </row>
    <row r="2" spans="1:699" ht="16.5" thickBot="1" x14ac:dyDescent="0.35">
      <c r="A2" s="85"/>
      <c r="B2" s="72"/>
      <c r="C2" s="72"/>
      <c r="D2" s="72"/>
      <c r="E2" s="72"/>
      <c r="F2" s="72"/>
    </row>
    <row r="3" spans="1:699" ht="38.25" customHeight="1" x14ac:dyDescent="0.3">
      <c r="A3" s="86" t="s">
        <v>206</v>
      </c>
      <c r="B3" s="87" t="s">
        <v>209</v>
      </c>
      <c r="C3" s="87" t="s">
        <v>232</v>
      </c>
      <c r="D3" s="87" t="s">
        <v>233</v>
      </c>
      <c r="E3" s="87" t="s">
        <v>234</v>
      </c>
      <c r="F3" s="88" t="str">
        <f>EstimatingTool!E6</f>
        <v>Oct - Nov - Dec</v>
      </c>
    </row>
    <row r="4" spans="1:699" ht="54" customHeight="1" x14ac:dyDescent="0.3">
      <c r="A4" s="89" t="s">
        <v>207</v>
      </c>
      <c r="B4" s="90" t="s">
        <v>235</v>
      </c>
      <c r="C4" s="90" t="s">
        <v>236</v>
      </c>
      <c r="D4" s="90" t="s">
        <v>236</v>
      </c>
      <c r="E4" s="90" t="s">
        <v>236</v>
      </c>
      <c r="F4" s="91" t="s">
        <v>237</v>
      </c>
    </row>
    <row r="5" spans="1:699" x14ac:dyDescent="0.3">
      <c r="A5" s="92" t="s">
        <v>16</v>
      </c>
      <c r="B5" s="93">
        <v>75094.14</v>
      </c>
      <c r="C5" s="99">
        <v>51639.93</v>
      </c>
      <c r="D5" s="99"/>
      <c r="E5" s="99"/>
      <c r="F5" s="94">
        <f>IF(F$3="Jul - Aug - Sep",B5,IF(F$3="Oct - Nov - Dec",C5,IF(F$3="Jan - Feb - Mar",D5,E5)))</f>
        <v>51639.93</v>
      </c>
      <c r="G5" s="67"/>
    </row>
    <row r="6" spans="1:699" x14ac:dyDescent="0.3">
      <c r="A6" s="92" t="s">
        <v>17</v>
      </c>
      <c r="B6" s="93">
        <v>10053.879999999999</v>
      </c>
      <c r="C6" s="99">
        <v>8854.15</v>
      </c>
      <c r="D6" s="99"/>
      <c r="E6" s="99"/>
      <c r="F6" s="94">
        <f t="shared" ref="F6:F69" si="0">IF(F$3="Jul - Aug - Sep",B6,IF(F$3="Oct - Nov - Dec",C6,IF(F$3="Jan - Feb - Mar",D6,E6)))</f>
        <v>8854.15</v>
      </c>
      <c r="G6" s="67"/>
    </row>
    <row r="7" spans="1:699" x14ac:dyDescent="0.3">
      <c r="A7" s="92" t="s">
        <v>18</v>
      </c>
      <c r="B7" s="93">
        <v>49090.55</v>
      </c>
      <c r="C7" s="99">
        <v>57319.33</v>
      </c>
      <c r="D7" s="99"/>
      <c r="E7" s="99"/>
      <c r="F7" s="94">
        <f t="shared" si="0"/>
        <v>57319.33</v>
      </c>
    </row>
    <row r="8" spans="1:699" x14ac:dyDescent="0.3">
      <c r="A8" s="92" t="s">
        <v>81</v>
      </c>
      <c r="B8" s="93">
        <v>0</v>
      </c>
      <c r="C8" s="99">
        <v>0</v>
      </c>
      <c r="D8" s="99"/>
      <c r="E8" s="99"/>
      <c r="F8" s="94">
        <f t="shared" si="0"/>
        <v>0</v>
      </c>
    </row>
    <row r="9" spans="1:699" x14ac:dyDescent="0.3">
      <c r="A9" s="92" t="s">
        <v>19</v>
      </c>
      <c r="B9" s="93">
        <v>117658.73</v>
      </c>
      <c r="C9" s="99">
        <v>107931.08</v>
      </c>
      <c r="D9" s="99"/>
      <c r="E9" s="99"/>
      <c r="F9" s="94">
        <f t="shared" si="0"/>
        <v>107931.08</v>
      </c>
    </row>
    <row r="10" spans="1:699" x14ac:dyDescent="0.3">
      <c r="A10" s="92" t="s">
        <v>20</v>
      </c>
      <c r="B10" s="93">
        <v>222031.6</v>
      </c>
      <c r="C10" s="99">
        <v>193735.46000000002</v>
      </c>
      <c r="D10" s="99"/>
      <c r="E10" s="99"/>
      <c r="F10" s="94">
        <f t="shared" si="0"/>
        <v>193735.46000000002</v>
      </c>
    </row>
    <row r="11" spans="1:699" x14ac:dyDescent="0.3">
      <c r="A11" s="92" t="s">
        <v>21</v>
      </c>
      <c r="B11" s="93">
        <v>4466.43</v>
      </c>
      <c r="C11" s="99">
        <v>1872.27</v>
      </c>
      <c r="D11" s="99"/>
      <c r="E11" s="99"/>
      <c r="F11" s="94">
        <f t="shared" si="0"/>
        <v>1872.27</v>
      </c>
    </row>
    <row r="12" spans="1:699" x14ac:dyDescent="0.3">
      <c r="A12" s="92" t="s">
        <v>22</v>
      </c>
      <c r="B12" s="93">
        <v>38821.760000000002</v>
      </c>
      <c r="C12" s="99">
        <v>36780.560000000005</v>
      </c>
      <c r="D12" s="99"/>
      <c r="E12" s="99"/>
      <c r="F12" s="94">
        <f t="shared" si="0"/>
        <v>36780.560000000005</v>
      </c>
    </row>
    <row r="13" spans="1:699" x14ac:dyDescent="0.3">
      <c r="A13" s="92" t="s">
        <v>23</v>
      </c>
      <c r="B13" s="93">
        <v>23425.75</v>
      </c>
      <c r="C13" s="99">
        <v>21267.14</v>
      </c>
      <c r="D13" s="99"/>
      <c r="E13" s="99"/>
      <c r="F13" s="94">
        <f t="shared" si="0"/>
        <v>21267.14</v>
      </c>
    </row>
    <row r="14" spans="1:699" x14ac:dyDescent="0.3">
      <c r="A14" s="92" t="s">
        <v>24</v>
      </c>
      <c r="B14" s="93">
        <v>16263.83</v>
      </c>
      <c r="C14" s="99">
        <v>10680.259999999998</v>
      </c>
      <c r="D14" s="99"/>
      <c r="E14" s="99"/>
      <c r="F14" s="94">
        <f t="shared" si="0"/>
        <v>10680.259999999998</v>
      </c>
    </row>
    <row r="15" spans="1:699" x14ac:dyDescent="0.3">
      <c r="A15" s="92" t="s">
        <v>25</v>
      </c>
      <c r="B15" s="93">
        <v>68991.42</v>
      </c>
      <c r="C15" s="99">
        <v>56670.400000000001</v>
      </c>
      <c r="D15" s="99"/>
      <c r="E15" s="99"/>
      <c r="F15" s="94">
        <f t="shared" si="0"/>
        <v>56670.400000000001</v>
      </c>
    </row>
    <row r="16" spans="1:699" x14ac:dyDescent="0.3">
      <c r="A16" s="92" t="s">
        <v>26</v>
      </c>
      <c r="B16" s="93">
        <v>14517.01</v>
      </c>
      <c r="C16" s="99">
        <v>15251.83</v>
      </c>
      <c r="D16" s="99"/>
      <c r="E16" s="99"/>
      <c r="F16" s="94">
        <f t="shared" si="0"/>
        <v>15251.83</v>
      </c>
      <c r="ZW16" s="68">
        <v>1</v>
      </c>
    </row>
    <row r="17" spans="1:6" x14ac:dyDescent="0.3">
      <c r="A17" s="92" t="s">
        <v>198</v>
      </c>
      <c r="B17" s="93">
        <v>9953.64</v>
      </c>
      <c r="C17" s="99">
        <v>7769.99</v>
      </c>
      <c r="D17" s="99"/>
      <c r="E17" s="99"/>
      <c r="F17" s="94">
        <f t="shared" si="0"/>
        <v>7769.99</v>
      </c>
    </row>
    <row r="18" spans="1:6" x14ac:dyDescent="0.3">
      <c r="A18" s="92" t="s">
        <v>28</v>
      </c>
      <c r="B18" s="93">
        <v>0</v>
      </c>
      <c r="C18" s="99">
        <v>0</v>
      </c>
      <c r="D18" s="99"/>
      <c r="E18" s="99"/>
      <c r="F18" s="94">
        <f t="shared" si="0"/>
        <v>0</v>
      </c>
    </row>
    <row r="19" spans="1:6" x14ac:dyDescent="0.3">
      <c r="A19" s="92" t="s">
        <v>29</v>
      </c>
      <c r="B19" s="93">
        <v>146237.01</v>
      </c>
      <c r="C19" s="99">
        <v>98640.03</v>
      </c>
      <c r="D19" s="99"/>
      <c r="E19" s="99"/>
      <c r="F19" s="94">
        <f t="shared" si="0"/>
        <v>98640.03</v>
      </c>
    </row>
    <row r="20" spans="1:6" x14ac:dyDescent="0.3">
      <c r="A20" s="92" t="s">
        <v>30</v>
      </c>
      <c r="B20" s="93">
        <v>79135.3</v>
      </c>
      <c r="C20" s="99">
        <v>70590.97</v>
      </c>
      <c r="D20" s="99"/>
      <c r="E20" s="99"/>
      <c r="F20" s="94">
        <f t="shared" si="0"/>
        <v>70590.97</v>
      </c>
    </row>
    <row r="21" spans="1:6" x14ac:dyDescent="0.3">
      <c r="A21" s="92" t="s">
        <v>31</v>
      </c>
      <c r="B21" s="93">
        <v>12062.59</v>
      </c>
      <c r="C21" s="99">
        <v>21162.25</v>
      </c>
      <c r="D21" s="99"/>
      <c r="E21" s="99"/>
      <c r="F21" s="94">
        <f t="shared" si="0"/>
        <v>21162.25</v>
      </c>
    </row>
    <row r="22" spans="1:6" x14ac:dyDescent="0.3">
      <c r="A22" s="92" t="s">
        <v>32</v>
      </c>
      <c r="B22" s="93">
        <v>3797.25</v>
      </c>
      <c r="C22" s="99">
        <v>4284.53</v>
      </c>
      <c r="D22" s="99"/>
      <c r="E22" s="99"/>
      <c r="F22" s="94">
        <f t="shared" si="0"/>
        <v>4284.53</v>
      </c>
    </row>
    <row r="23" spans="1:6" x14ac:dyDescent="0.3">
      <c r="A23" s="92" t="s">
        <v>33</v>
      </c>
      <c r="B23" s="93">
        <v>11705.59</v>
      </c>
      <c r="C23" s="99">
        <v>11818.34</v>
      </c>
      <c r="D23" s="99"/>
      <c r="E23" s="99"/>
      <c r="F23" s="94">
        <f t="shared" si="0"/>
        <v>11818.34</v>
      </c>
    </row>
    <row r="24" spans="1:6" x14ac:dyDescent="0.3">
      <c r="A24" s="92" t="s">
        <v>34</v>
      </c>
      <c r="B24" s="93">
        <v>0</v>
      </c>
      <c r="C24" s="99">
        <v>0</v>
      </c>
      <c r="D24" s="99"/>
      <c r="E24" s="99"/>
      <c r="F24" s="94">
        <f t="shared" si="0"/>
        <v>0</v>
      </c>
    </row>
    <row r="25" spans="1:6" x14ac:dyDescent="0.3">
      <c r="A25" s="92" t="s">
        <v>35</v>
      </c>
      <c r="B25" s="93">
        <v>4644.3500000000004</v>
      </c>
      <c r="C25" s="99">
        <v>6478.9</v>
      </c>
      <c r="D25" s="99"/>
      <c r="E25" s="99"/>
      <c r="F25" s="94">
        <f t="shared" si="0"/>
        <v>6478.9</v>
      </c>
    </row>
    <row r="26" spans="1:6" x14ac:dyDescent="0.3">
      <c r="A26" s="92" t="s">
        <v>36</v>
      </c>
      <c r="B26" s="93">
        <v>6161.54</v>
      </c>
      <c r="C26" s="99">
        <v>5426.79</v>
      </c>
      <c r="D26" s="99"/>
      <c r="E26" s="99"/>
      <c r="F26" s="94">
        <f t="shared" si="0"/>
        <v>5426.79</v>
      </c>
    </row>
    <row r="27" spans="1:6" x14ac:dyDescent="0.3">
      <c r="A27" s="92" t="s">
        <v>37</v>
      </c>
      <c r="B27" s="93">
        <v>5346.58</v>
      </c>
      <c r="C27" s="99">
        <v>5740.4900000000007</v>
      </c>
      <c r="D27" s="99"/>
      <c r="E27" s="99"/>
      <c r="F27" s="94">
        <f t="shared" si="0"/>
        <v>5740.4900000000007</v>
      </c>
    </row>
    <row r="28" spans="1:6" x14ac:dyDescent="0.3">
      <c r="A28" s="92" t="s">
        <v>38</v>
      </c>
      <c r="B28" s="93">
        <v>15167.11</v>
      </c>
      <c r="C28" s="99">
        <v>9078.92</v>
      </c>
      <c r="D28" s="99"/>
      <c r="E28" s="99"/>
      <c r="F28" s="94">
        <f t="shared" si="0"/>
        <v>9078.92</v>
      </c>
    </row>
    <row r="29" spans="1:6" x14ac:dyDescent="0.3">
      <c r="A29" s="92" t="s">
        <v>39</v>
      </c>
      <c r="B29" s="93">
        <v>22301.41</v>
      </c>
      <c r="C29" s="99">
        <v>14653.42</v>
      </c>
      <c r="D29" s="99"/>
      <c r="E29" s="99"/>
      <c r="F29" s="94">
        <f t="shared" si="0"/>
        <v>14653.42</v>
      </c>
    </row>
    <row r="30" spans="1:6" x14ac:dyDescent="0.3">
      <c r="A30" s="92" t="s">
        <v>40</v>
      </c>
      <c r="B30" s="93">
        <v>48501.9</v>
      </c>
      <c r="C30" s="99">
        <v>36780.31</v>
      </c>
      <c r="D30" s="99"/>
      <c r="E30" s="99"/>
      <c r="F30" s="94">
        <f t="shared" si="0"/>
        <v>36780.31</v>
      </c>
    </row>
    <row r="31" spans="1:6" x14ac:dyDescent="0.3">
      <c r="A31" s="92" t="s">
        <v>41</v>
      </c>
      <c r="B31" s="93">
        <v>14430.76</v>
      </c>
      <c r="C31" s="99">
        <v>21716.84</v>
      </c>
      <c r="D31" s="99"/>
      <c r="E31" s="99"/>
      <c r="F31" s="94">
        <f t="shared" si="0"/>
        <v>21716.84</v>
      </c>
    </row>
    <row r="32" spans="1:6" x14ac:dyDescent="0.3">
      <c r="A32" s="92" t="s">
        <v>42</v>
      </c>
      <c r="B32" s="93">
        <v>110023.21</v>
      </c>
      <c r="C32" s="99">
        <v>103261.17</v>
      </c>
      <c r="D32" s="99"/>
      <c r="E32" s="99"/>
      <c r="F32" s="94">
        <f t="shared" si="0"/>
        <v>103261.17</v>
      </c>
    </row>
    <row r="33" spans="1:6" x14ac:dyDescent="0.3">
      <c r="A33" s="92" t="s">
        <v>43</v>
      </c>
      <c r="B33" s="93">
        <v>3328.27</v>
      </c>
      <c r="C33" s="99">
        <v>4238.66</v>
      </c>
      <c r="D33" s="99"/>
      <c r="E33" s="99"/>
      <c r="F33" s="94">
        <f t="shared" si="0"/>
        <v>4238.66</v>
      </c>
    </row>
    <row r="34" spans="1:6" x14ac:dyDescent="0.3">
      <c r="A34" s="92" t="s">
        <v>44</v>
      </c>
      <c r="B34" s="93">
        <v>40754.68</v>
      </c>
      <c r="C34" s="99">
        <v>41434.79</v>
      </c>
      <c r="D34" s="99"/>
      <c r="E34" s="99"/>
      <c r="F34" s="94">
        <f t="shared" si="0"/>
        <v>41434.79</v>
      </c>
    </row>
    <row r="35" spans="1:6" x14ac:dyDescent="0.3">
      <c r="A35" s="92" t="s">
        <v>45</v>
      </c>
      <c r="B35" s="93">
        <v>10556.74</v>
      </c>
      <c r="C35" s="99">
        <v>7605.4</v>
      </c>
      <c r="D35" s="99"/>
      <c r="E35" s="99"/>
      <c r="F35" s="94">
        <f t="shared" si="0"/>
        <v>7605.4</v>
      </c>
    </row>
    <row r="36" spans="1:6" x14ac:dyDescent="0.3">
      <c r="A36" s="92" t="s">
        <v>46</v>
      </c>
      <c r="B36" s="93">
        <v>16442.189999999999</v>
      </c>
      <c r="C36" s="99">
        <v>11407.800000000001</v>
      </c>
      <c r="D36" s="99"/>
      <c r="E36" s="99"/>
      <c r="F36" s="94">
        <f t="shared" si="0"/>
        <v>11407.800000000001</v>
      </c>
    </row>
    <row r="37" spans="1:6" x14ac:dyDescent="0.3">
      <c r="A37" s="92" t="s">
        <v>47</v>
      </c>
      <c r="B37" s="93">
        <v>4103.55</v>
      </c>
      <c r="C37" s="99">
        <v>0</v>
      </c>
      <c r="D37" s="99"/>
      <c r="E37" s="99"/>
      <c r="F37" s="94">
        <f t="shared" si="0"/>
        <v>0</v>
      </c>
    </row>
    <row r="38" spans="1:6" x14ac:dyDescent="0.3">
      <c r="A38" s="92" t="s">
        <v>48</v>
      </c>
      <c r="B38" s="93">
        <v>52416.32</v>
      </c>
      <c r="C38" s="99">
        <v>61511.25</v>
      </c>
      <c r="D38" s="99"/>
      <c r="E38" s="99"/>
      <c r="F38" s="94">
        <f t="shared" si="0"/>
        <v>61511.25</v>
      </c>
    </row>
    <row r="39" spans="1:6" x14ac:dyDescent="0.3">
      <c r="A39" s="92" t="s">
        <v>49</v>
      </c>
      <c r="B39" s="93">
        <v>56381.46</v>
      </c>
      <c r="C39" s="99">
        <v>74180.989999999991</v>
      </c>
      <c r="D39" s="99"/>
      <c r="E39" s="99"/>
      <c r="F39" s="94">
        <f t="shared" si="0"/>
        <v>74180.989999999991</v>
      </c>
    </row>
    <row r="40" spans="1:6" x14ac:dyDescent="0.3">
      <c r="A40" s="92" t="s">
        <v>50</v>
      </c>
      <c r="B40" s="93">
        <v>82942.5</v>
      </c>
      <c r="C40" s="99">
        <v>65832.810000000012</v>
      </c>
      <c r="D40" s="99"/>
      <c r="E40" s="99"/>
      <c r="F40" s="94">
        <f t="shared" si="0"/>
        <v>65832.810000000012</v>
      </c>
    </row>
    <row r="41" spans="1:6" x14ac:dyDescent="0.3">
      <c r="A41" s="92" t="s">
        <v>51</v>
      </c>
      <c r="B41" s="93">
        <v>8491.4500000000007</v>
      </c>
      <c r="C41" s="99">
        <v>14150.91</v>
      </c>
      <c r="D41" s="99"/>
      <c r="E41" s="99"/>
      <c r="F41" s="94">
        <f t="shared" si="0"/>
        <v>14150.91</v>
      </c>
    </row>
    <row r="42" spans="1:6" x14ac:dyDescent="0.3">
      <c r="A42" s="92" t="s">
        <v>52</v>
      </c>
      <c r="B42" s="93">
        <v>5538.32</v>
      </c>
      <c r="C42" s="99">
        <v>2603</v>
      </c>
      <c r="D42" s="99"/>
      <c r="E42" s="99"/>
      <c r="F42" s="94">
        <f t="shared" si="0"/>
        <v>2603</v>
      </c>
    </row>
    <row r="43" spans="1:6" x14ac:dyDescent="0.3">
      <c r="A43" s="92" t="s">
        <v>53</v>
      </c>
      <c r="B43" s="93">
        <v>5128.03</v>
      </c>
      <c r="C43" s="99">
        <v>1429.5999999999995</v>
      </c>
      <c r="D43" s="99"/>
      <c r="E43" s="99"/>
      <c r="F43" s="94">
        <f t="shared" si="0"/>
        <v>1429.5999999999995</v>
      </c>
    </row>
    <row r="44" spans="1:6" x14ac:dyDescent="0.3">
      <c r="A44" s="92" t="s">
        <v>54</v>
      </c>
      <c r="B44" s="93">
        <v>34155.9</v>
      </c>
      <c r="C44" s="99">
        <v>34713.11</v>
      </c>
      <c r="D44" s="99"/>
      <c r="E44" s="99"/>
      <c r="F44" s="94">
        <f t="shared" si="0"/>
        <v>34713.11</v>
      </c>
    </row>
    <row r="45" spans="1:6" x14ac:dyDescent="0.3">
      <c r="A45" s="92" t="s">
        <v>55</v>
      </c>
      <c r="B45" s="93">
        <v>53910.9</v>
      </c>
      <c r="C45" s="99">
        <v>46593.27</v>
      </c>
      <c r="D45" s="99"/>
      <c r="E45" s="99"/>
      <c r="F45" s="94">
        <f t="shared" si="0"/>
        <v>46593.27</v>
      </c>
    </row>
    <row r="46" spans="1:6" x14ac:dyDescent="0.3">
      <c r="A46" s="92" t="s">
        <v>56</v>
      </c>
      <c r="B46" s="93">
        <v>39286.910000000003</v>
      </c>
      <c r="C46" s="99">
        <v>36221.789999999994</v>
      </c>
      <c r="D46" s="99"/>
      <c r="E46" s="99"/>
      <c r="F46" s="94">
        <f t="shared" si="0"/>
        <v>36221.789999999994</v>
      </c>
    </row>
    <row r="47" spans="1:6" x14ac:dyDescent="0.3">
      <c r="A47" s="92" t="s">
        <v>109</v>
      </c>
      <c r="B47" s="93">
        <v>232499.36000000002</v>
      </c>
      <c r="C47" s="99">
        <v>278239.52999999997</v>
      </c>
      <c r="D47" s="99"/>
      <c r="E47" s="99"/>
      <c r="F47" s="94">
        <f t="shared" si="0"/>
        <v>278239.52999999997</v>
      </c>
    </row>
    <row r="48" spans="1:6" x14ac:dyDescent="0.3">
      <c r="A48" s="92" t="s">
        <v>57</v>
      </c>
      <c r="B48" s="93">
        <v>68566.899999999994</v>
      </c>
      <c r="C48" s="99">
        <v>736.79000000000178</v>
      </c>
      <c r="D48" s="99"/>
      <c r="E48" s="99"/>
      <c r="F48" s="94">
        <f t="shared" si="0"/>
        <v>736.79000000000178</v>
      </c>
    </row>
    <row r="49" spans="1:6" x14ac:dyDescent="0.3">
      <c r="A49" s="92" t="s">
        <v>58</v>
      </c>
      <c r="B49" s="93">
        <v>16448.330000000002</v>
      </c>
      <c r="C49" s="99">
        <v>14055.609999999999</v>
      </c>
      <c r="D49" s="99"/>
      <c r="E49" s="99"/>
      <c r="F49" s="94">
        <f t="shared" si="0"/>
        <v>14055.609999999999</v>
      </c>
    </row>
    <row r="50" spans="1:6" x14ac:dyDescent="0.3">
      <c r="A50" s="92" t="s">
        <v>59</v>
      </c>
      <c r="B50" s="93">
        <v>24583.14</v>
      </c>
      <c r="C50" s="99">
        <v>19537.41</v>
      </c>
      <c r="D50" s="99"/>
      <c r="E50" s="99"/>
      <c r="F50" s="94">
        <f t="shared" si="0"/>
        <v>19537.41</v>
      </c>
    </row>
    <row r="51" spans="1:6" x14ac:dyDescent="0.3">
      <c r="A51" s="92" t="s">
        <v>60</v>
      </c>
      <c r="B51" s="93">
        <v>20904.91</v>
      </c>
      <c r="C51" s="99">
        <v>26664.6</v>
      </c>
      <c r="D51" s="99"/>
      <c r="E51" s="99"/>
      <c r="F51" s="94">
        <f t="shared" si="0"/>
        <v>26664.6</v>
      </c>
    </row>
    <row r="52" spans="1:6" x14ac:dyDescent="0.3">
      <c r="A52" s="92" t="s">
        <v>61</v>
      </c>
      <c r="B52" s="93">
        <v>203814.29</v>
      </c>
      <c r="C52" s="99">
        <v>175929.28999999998</v>
      </c>
      <c r="D52" s="99"/>
      <c r="E52" s="99"/>
      <c r="F52" s="94">
        <f t="shared" si="0"/>
        <v>175929.28999999998</v>
      </c>
    </row>
    <row r="53" spans="1:6" x14ac:dyDescent="0.3">
      <c r="A53" s="92" t="s">
        <v>62</v>
      </c>
      <c r="B53" s="93">
        <v>65699.88</v>
      </c>
      <c r="C53" s="99">
        <v>59429.29</v>
      </c>
      <c r="D53" s="99"/>
      <c r="E53" s="99"/>
      <c r="F53" s="94">
        <f t="shared" si="0"/>
        <v>59429.29</v>
      </c>
    </row>
    <row r="54" spans="1:6" x14ac:dyDescent="0.3">
      <c r="A54" s="92" t="s">
        <v>63</v>
      </c>
      <c r="B54" s="93">
        <v>213550.77</v>
      </c>
      <c r="C54" s="99">
        <v>232464.97</v>
      </c>
      <c r="D54" s="99"/>
      <c r="E54" s="99"/>
      <c r="F54" s="94">
        <f t="shared" si="0"/>
        <v>232464.97</v>
      </c>
    </row>
    <row r="55" spans="1:6" x14ac:dyDescent="0.3">
      <c r="A55" s="92" t="s">
        <v>64</v>
      </c>
      <c r="B55" s="93">
        <v>37812.69</v>
      </c>
      <c r="C55" s="99">
        <v>86962.31</v>
      </c>
      <c r="D55" s="99"/>
      <c r="E55" s="99"/>
      <c r="F55" s="94">
        <f t="shared" si="0"/>
        <v>86962.31</v>
      </c>
    </row>
    <row r="56" spans="1:6" x14ac:dyDescent="0.3">
      <c r="A56" s="92" t="s">
        <v>11</v>
      </c>
      <c r="B56" s="93">
        <v>147493.47</v>
      </c>
      <c r="C56" s="99">
        <v>154960.68</v>
      </c>
      <c r="D56" s="99"/>
      <c r="E56" s="99"/>
      <c r="F56" s="94">
        <f t="shared" si="0"/>
        <v>154960.68</v>
      </c>
    </row>
    <row r="57" spans="1:6" x14ac:dyDescent="0.3">
      <c r="A57" s="92" t="s">
        <v>65</v>
      </c>
      <c r="B57" s="93">
        <v>89269.36</v>
      </c>
      <c r="C57" s="99">
        <v>71939.12999999999</v>
      </c>
      <c r="D57" s="99"/>
      <c r="E57" s="99"/>
      <c r="F57" s="94">
        <f t="shared" si="0"/>
        <v>71939.12999999999</v>
      </c>
    </row>
    <row r="58" spans="1:6" x14ac:dyDescent="0.3">
      <c r="A58" s="92" t="s">
        <v>66</v>
      </c>
      <c r="B58" s="93">
        <v>14606.32</v>
      </c>
      <c r="C58" s="99">
        <v>19783.52</v>
      </c>
      <c r="D58" s="99"/>
      <c r="E58" s="99"/>
      <c r="F58" s="94">
        <f t="shared" si="0"/>
        <v>19783.52</v>
      </c>
    </row>
    <row r="59" spans="1:6" x14ac:dyDescent="0.3">
      <c r="A59" s="92" t="s">
        <v>67</v>
      </c>
      <c r="B59" s="93">
        <v>50047.8</v>
      </c>
      <c r="C59" s="99">
        <v>31580.16</v>
      </c>
      <c r="D59" s="99"/>
      <c r="E59" s="99"/>
      <c r="F59" s="94">
        <f t="shared" si="0"/>
        <v>31580.16</v>
      </c>
    </row>
    <row r="60" spans="1:6" x14ac:dyDescent="0.3">
      <c r="A60" s="92" t="s">
        <v>68</v>
      </c>
      <c r="B60" s="93">
        <v>83402.94</v>
      </c>
      <c r="C60" s="99">
        <v>87930.68</v>
      </c>
      <c r="D60" s="99"/>
      <c r="E60" s="99"/>
      <c r="F60" s="94">
        <f t="shared" si="0"/>
        <v>87930.68</v>
      </c>
    </row>
    <row r="61" spans="1:6" x14ac:dyDescent="0.3">
      <c r="A61" s="92" t="s">
        <v>69</v>
      </c>
      <c r="B61" s="93">
        <v>90447.39</v>
      </c>
      <c r="C61" s="99">
        <v>52675.56</v>
      </c>
      <c r="D61" s="99"/>
      <c r="E61" s="99"/>
      <c r="F61" s="94">
        <f t="shared" si="0"/>
        <v>52675.56</v>
      </c>
    </row>
    <row r="62" spans="1:6" x14ac:dyDescent="0.3">
      <c r="A62" s="92" t="s">
        <v>110</v>
      </c>
      <c r="B62" s="93">
        <v>24015.17</v>
      </c>
      <c r="C62" s="99">
        <v>12473.5</v>
      </c>
      <c r="D62" s="99"/>
      <c r="E62" s="99"/>
      <c r="F62" s="94">
        <f t="shared" si="0"/>
        <v>12473.5</v>
      </c>
    </row>
    <row r="63" spans="1:6" x14ac:dyDescent="0.3">
      <c r="A63" s="92" t="s">
        <v>112</v>
      </c>
      <c r="B63" s="93">
        <v>60569.66</v>
      </c>
      <c r="C63" s="99">
        <v>75067.259999999995</v>
      </c>
      <c r="D63" s="99"/>
      <c r="E63" s="99"/>
      <c r="F63" s="94">
        <f t="shared" si="0"/>
        <v>75067.259999999995</v>
      </c>
    </row>
    <row r="64" spans="1:6" x14ac:dyDescent="0.3">
      <c r="A64" s="92" t="s">
        <v>71</v>
      </c>
      <c r="B64" s="93">
        <v>15961.26</v>
      </c>
      <c r="C64" s="99">
        <v>19181.98</v>
      </c>
      <c r="D64" s="99"/>
      <c r="E64" s="99"/>
      <c r="F64" s="94">
        <f t="shared" si="0"/>
        <v>19181.98</v>
      </c>
    </row>
    <row r="65" spans="1:7" x14ac:dyDescent="0.3">
      <c r="A65" s="92" t="s">
        <v>72</v>
      </c>
      <c r="B65" s="93">
        <v>3648.83</v>
      </c>
      <c r="C65" s="99">
        <v>8055.2099999999991</v>
      </c>
      <c r="D65" s="99"/>
      <c r="E65" s="99"/>
      <c r="F65" s="94">
        <f t="shared" si="0"/>
        <v>8055.2099999999991</v>
      </c>
    </row>
    <row r="66" spans="1:7" x14ac:dyDescent="0.3">
      <c r="A66" s="92" t="s">
        <v>73</v>
      </c>
      <c r="B66" s="93">
        <v>3413.07</v>
      </c>
      <c r="C66" s="99">
        <v>2035.78</v>
      </c>
      <c r="D66" s="99"/>
      <c r="E66" s="99"/>
      <c r="F66" s="94">
        <f t="shared" si="0"/>
        <v>2035.78</v>
      </c>
    </row>
    <row r="67" spans="1:7" x14ac:dyDescent="0.3">
      <c r="A67" s="92" t="s">
        <v>74</v>
      </c>
      <c r="B67" s="93">
        <v>1781.45</v>
      </c>
      <c r="C67" s="99">
        <v>0</v>
      </c>
      <c r="D67" s="99"/>
      <c r="E67" s="99"/>
      <c r="F67" s="94">
        <f t="shared" si="0"/>
        <v>0</v>
      </c>
    </row>
    <row r="68" spans="1:7" x14ac:dyDescent="0.3">
      <c r="A68" s="92" t="s">
        <v>75</v>
      </c>
      <c r="B68" s="93">
        <v>88725.81</v>
      </c>
      <c r="C68" s="99">
        <v>81449.78</v>
      </c>
      <c r="D68" s="99"/>
      <c r="E68" s="99"/>
      <c r="F68" s="94">
        <f t="shared" si="0"/>
        <v>81449.78</v>
      </c>
    </row>
    <row r="69" spans="1:7" x14ac:dyDescent="0.3">
      <c r="A69" s="92" t="s">
        <v>76</v>
      </c>
      <c r="B69" s="93">
        <v>10334.64</v>
      </c>
      <c r="C69" s="99">
        <v>7800.39</v>
      </c>
      <c r="D69" s="99"/>
      <c r="E69" s="99"/>
      <c r="F69" s="94">
        <f t="shared" si="0"/>
        <v>7800.39</v>
      </c>
    </row>
    <row r="70" spans="1:7" x14ac:dyDescent="0.3">
      <c r="A70" s="92" t="s">
        <v>77</v>
      </c>
      <c r="B70" s="93">
        <v>8226.2199999999993</v>
      </c>
      <c r="C70" s="99">
        <v>14939.36</v>
      </c>
      <c r="D70" s="99"/>
      <c r="E70" s="99"/>
      <c r="F70" s="94">
        <f t="shared" ref="F70:F71" si="1">IF(F$3="Jul - Aug - Sep",B70,IF(F$3="Oct - Nov - Dec",C70,IF(F$3="Jan - Feb - Mar",D70,E70)))</f>
        <v>14939.36</v>
      </c>
    </row>
    <row r="71" spans="1:7" ht="16.5" thickBot="1" x14ac:dyDescent="0.35">
      <c r="A71" s="95" t="s">
        <v>78</v>
      </c>
      <c r="B71" s="96">
        <v>8405.48</v>
      </c>
      <c r="C71" s="100">
        <v>9778.4599999999991</v>
      </c>
      <c r="D71" s="100"/>
      <c r="E71" s="100"/>
      <c r="F71" s="101">
        <f t="shared" si="1"/>
        <v>9778.4599999999991</v>
      </c>
    </row>
    <row r="72" spans="1:7" ht="17.25" thickTop="1" thickBot="1" x14ac:dyDescent="0.35">
      <c r="A72" s="97" t="s">
        <v>208</v>
      </c>
      <c r="B72" s="98">
        <f>SUM(B5:B71)</f>
        <v>3127549.6999999997</v>
      </c>
      <c r="C72" s="98">
        <f t="shared" ref="C72:F72" si="2">SUM(C5:C71)</f>
        <v>2924999.9900000007</v>
      </c>
      <c r="D72" s="98">
        <f t="shared" si="2"/>
        <v>0</v>
      </c>
      <c r="E72" s="98">
        <f t="shared" si="2"/>
        <v>0</v>
      </c>
      <c r="F72" s="98">
        <f t="shared" si="2"/>
        <v>2924999.9900000007</v>
      </c>
      <c r="G72" s="69"/>
    </row>
  </sheetData>
  <conditionalFormatting sqref="C5:E71">
    <cfRule type="expression" dxfId="1" priority="1">
      <formula>MOD(ROW(),2)=1</formula>
    </cfRule>
  </conditionalFormatting>
  <pageMargins left="0.25" right="0.25" top="0.75" bottom="0.75" header="0.3" footer="0.3"/>
  <pageSetup scale="77" fitToHeight="0" orientation="portrait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1"/>
  <sheetViews>
    <sheetView workbookViewId="0">
      <selection activeCell="E66" sqref="E66"/>
    </sheetView>
  </sheetViews>
  <sheetFormatPr defaultRowHeight="15.75" x14ac:dyDescent="0.3"/>
  <cols>
    <col min="2" max="2" width="11.33203125" bestFit="1" customWidth="1"/>
    <col min="3" max="3" width="11.77734375" bestFit="1" customWidth="1"/>
    <col min="4" max="9" width="10.33203125" customWidth="1"/>
    <col min="10" max="10" width="13.88671875" customWidth="1"/>
  </cols>
  <sheetData>
    <row r="1" spans="1:10" ht="16.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thickBot="1" x14ac:dyDescent="0.35">
      <c r="A2" s="1"/>
      <c r="B2" s="172" t="s">
        <v>215</v>
      </c>
      <c r="C2" s="173"/>
      <c r="D2" s="172" t="s">
        <v>216</v>
      </c>
      <c r="E2" s="173"/>
      <c r="F2" s="172" t="s">
        <v>217</v>
      </c>
      <c r="G2" s="173"/>
      <c r="H2" s="172" t="s">
        <v>218</v>
      </c>
      <c r="I2" s="173"/>
      <c r="J2" s="1" t="str">
        <f>EstimatingTool!E6</f>
        <v>Oct - Nov - Dec</v>
      </c>
    </row>
    <row r="3" spans="1:10" ht="27.75" x14ac:dyDescent="0.3">
      <c r="A3" s="102" t="s">
        <v>238</v>
      </c>
      <c r="B3" s="104" t="s">
        <v>240</v>
      </c>
      <c r="C3" s="105" t="s">
        <v>239</v>
      </c>
      <c r="D3" s="104" t="s">
        <v>240</v>
      </c>
      <c r="E3" s="105" t="s">
        <v>239</v>
      </c>
      <c r="F3" s="104" t="s">
        <v>240</v>
      </c>
      <c r="G3" s="105" t="s">
        <v>239</v>
      </c>
      <c r="H3" s="104" t="s">
        <v>240</v>
      </c>
      <c r="I3" s="105" t="s">
        <v>239</v>
      </c>
      <c r="J3" s="103" t="s">
        <v>241</v>
      </c>
    </row>
    <row r="4" spans="1:10" x14ac:dyDescent="0.3">
      <c r="A4" s="110" t="s">
        <v>16</v>
      </c>
      <c r="B4" s="111">
        <v>0</v>
      </c>
      <c r="C4" s="112">
        <v>21664.51</v>
      </c>
      <c r="D4" s="106">
        <v>1179.79</v>
      </c>
      <c r="E4" s="107">
        <v>0</v>
      </c>
      <c r="F4" s="106"/>
      <c r="G4" s="107"/>
      <c r="H4" s="106"/>
      <c r="I4" s="107"/>
      <c r="J4" s="113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1179.79</v>
      </c>
    </row>
    <row r="5" spans="1:10" x14ac:dyDescent="0.3">
      <c r="A5" s="110" t="s">
        <v>17</v>
      </c>
      <c r="B5" s="111">
        <v>0</v>
      </c>
      <c r="C5" s="112">
        <v>5762.02</v>
      </c>
      <c r="D5" s="106">
        <v>0</v>
      </c>
      <c r="E5" s="107">
        <v>4802.12</v>
      </c>
      <c r="F5" s="106"/>
      <c r="G5" s="107"/>
      <c r="H5" s="106"/>
      <c r="I5" s="107"/>
      <c r="J5" s="113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-4802.12</v>
      </c>
    </row>
    <row r="6" spans="1:10" x14ac:dyDescent="0.3">
      <c r="A6" s="110" t="s">
        <v>18</v>
      </c>
      <c r="B6" s="111">
        <v>0</v>
      </c>
      <c r="C6" s="112">
        <v>1144.1500000000001</v>
      </c>
      <c r="D6" s="106">
        <v>0</v>
      </c>
      <c r="E6" s="107">
        <v>5796.6</v>
      </c>
      <c r="F6" s="106"/>
      <c r="G6" s="107"/>
      <c r="H6" s="106"/>
      <c r="I6" s="107"/>
      <c r="J6" s="113">
        <f t="shared" si="0"/>
        <v>-5796.6</v>
      </c>
    </row>
    <row r="7" spans="1:10" x14ac:dyDescent="0.3">
      <c r="A7" s="110" t="s">
        <v>81</v>
      </c>
      <c r="B7" s="111">
        <v>15742.31</v>
      </c>
      <c r="C7" s="112">
        <v>0</v>
      </c>
      <c r="D7" s="106">
        <v>11458.31</v>
      </c>
      <c r="E7" s="107">
        <v>0</v>
      </c>
      <c r="F7" s="106"/>
      <c r="G7" s="107"/>
      <c r="H7" s="106"/>
      <c r="I7" s="107"/>
      <c r="J7" s="113">
        <f t="shared" si="0"/>
        <v>11458.31</v>
      </c>
    </row>
    <row r="8" spans="1:10" x14ac:dyDescent="0.3">
      <c r="A8" s="110" t="s">
        <v>19</v>
      </c>
      <c r="B8" s="111">
        <v>0</v>
      </c>
      <c r="C8" s="112">
        <v>7510.75</v>
      </c>
      <c r="D8" s="106">
        <v>0</v>
      </c>
      <c r="E8" s="107">
        <v>746.8</v>
      </c>
      <c r="F8" s="106"/>
      <c r="G8" s="107"/>
      <c r="H8" s="106"/>
      <c r="I8" s="107"/>
      <c r="J8" s="113">
        <f t="shared" si="0"/>
        <v>-746.8</v>
      </c>
    </row>
    <row r="9" spans="1:10" x14ac:dyDescent="0.3">
      <c r="A9" s="110" t="s">
        <v>20</v>
      </c>
      <c r="B9" s="111">
        <v>0</v>
      </c>
      <c r="C9" s="112">
        <v>26249.35</v>
      </c>
      <c r="D9" s="106">
        <v>0</v>
      </c>
      <c r="E9" s="107">
        <v>3016.82</v>
      </c>
      <c r="F9" s="106"/>
      <c r="G9" s="107"/>
      <c r="H9" s="106"/>
      <c r="I9" s="107"/>
      <c r="J9" s="113">
        <f t="shared" si="0"/>
        <v>-3016.82</v>
      </c>
    </row>
    <row r="10" spans="1:10" x14ac:dyDescent="0.3">
      <c r="A10" s="110" t="s">
        <v>21</v>
      </c>
      <c r="B10" s="111">
        <v>0</v>
      </c>
      <c r="C10" s="112">
        <v>477.25</v>
      </c>
      <c r="D10" s="106">
        <v>1026.21</v>
      </c>
      <c r="E10" s="107">
        <v>0</v>
      </c>
      <c r="F10" s="106"/>
      <c r="G10" s="107"/>
      <c r="H10" s="106"/>
      <c r="I10" s="107"/>
      <c r="J10" s="113">
        <f t="shared" si="0"/>
        <v>1026.21</v>
      </c>
    </row>
    <row r="11" spans="1:10" x14ac:dyDescent="0.3">
      <c r="A11" s="110" t="s">
        <v>22</v>
      </c>
      <c r="B11" s="111">
        <v>0</v>
      </c>
      <c r="C11" s="112">
        <v>928.02</v>
      </c>
      <c r="D11" s="106">
        <v>56.74</v>
      </c>
      <c r="E11" s="107">
        <v>0</v>
      </c>
      <c r="F11" s="106"/>
      <c r="G11" s="107"/>
      <c r="H11" s="106"/>
      <c r="I11" s="107"/>
      <c r="J11" s="113">
        <f t="shared" si="0"/>
        <v>56.74</v>
      </c>
    </row>
    <row r="12" spans="1:10" x14ac:dyDescent="0.3">
      <c r="A12" s="110" t="s">
        <v>23</v>
      </c>
      <c r="B12" s="111">
        <v>0</v>
      </c>
      <c r="C12" s="112">
        <v>6716.07</v>
      </c>
      <c r="D12" s="106">
        <v>0</v>
      </c>
      <c r="E12" s="107">
        <v>2490.92</v>
      </c>
      <c r="F12" s="106"/>
      <c r="G12" s="107"/>
      <c r="H12" s="106"/>
      <c r="I12" s="107"/>
      <c r="J12" s="113">
        <f t="shared" si="0"/>
        <v>-2490.92</v>
      </c>
    </row>
    <row r="13" spans="1:10" x14ac:dyDescent="0.3">
      <c r="A13" s="110" t="s">
        <v>24</v>
      </c>
      <c r="B13" s="111">
        <v>3991.32</v>
      </c>
      <c r="C13" s="112">
        <v>0</v>
      </c>
      <c r="D13" s="106">
        <v>3256.04</v>
      </c>
      <c r="E13" s="107">
        <v>0</v>
      </c>
      <c r="F13" s="106"/>
      <c r="G13" s="107"/>
      <c r="H13" s="106"/>
      <c r="I13" s="107"/>
      <c r="J13" s="113">
        <f t="shared" si="0"/>
        <v>3256.04</v>
      </c>
    </row>
    <row r="14" spans="1:10" x14ac:dyDescent="0.3">
      <c r="A14" s="110" t="s">
        <v>25</v>
      </c>
      <c r="B14" s="111">
        <v>0</v>
      </c>
      <c r="C14" s="112">
        <v>8129.18</v>
      </c>
      <c r="D14" s="106">
        <v>0</v>
      </c>
      <c r="E14" s="107">
        <v>707.53</v>
      </c>
      <c r="F14" s="106"/>
      <c r="G14" s="107"/>
      <c r="H14" s="106"/>
      <c r="I14" s="107"/>
      <c r="J14" s="113">
        <f t="shared" si="0"/>
        <v>-707.53</v>
      </c>
    </row>
    <row r="15" spans="1:10" x14ac:dyDescent="0.3">
      <c r="A15" s="110" t="s">
        <v>26</v>
      </c>
      <c r="B15" s="111">
        <v>686.06</v>
      </c>
      <c r="C15" s="112">
        <v>0</v>
      </c>
      <c r="D15" s="106">
        <v>0</v>
      </c>
      <c r="E15" s="107">
        <v>490.61</v>
      </c>
      <c r="F15" s="106"/>
      <c r="G15" s="107"/>
      <c r="H15" s="106"/>
      <c r="I15" s="107"/>
      <c r="J15" s="113">
        <f t="shared" si="0"/>
        <v>-490.61</v>
      </c>
    </row>
    <row r="16" spans="1:10" x14ac:dyDescent="0.3">
      <c r="A16" s="110" t="s">
        <v>109</v>
      </c>
      <c r="B16" s="111">
        <v>67227.48</v>
      </c>
      <c r="C16" s="112">
        <v>0</v>
      </c>
      <c r="D16" s="106">
        <v>13094.84</v>
      </c>
      <c r="E16" s="107">
        <v>0</v>
      </c>
      <c r="F16" s="106"/>
      <c r="G16" s="107"/>
      <c r="H16" s="106"/>
      <c r="I16" s="107"/>
      <c r="J16" s="113">
        <f t="shared" si="0"/>
        <v>13094.84</v>
      </c>
    </row>
    <row r="17" spans="1:10" x14ac:dyDescent="0.3">
      <c r="A17" s="110" t="s">
        <v>27</v>
      </c>
      <c r="B17" s="111">
        <v>0</v>
      </c>
      <c r="C17" s="112">
        <v>1905.75</v>
      </c>
      <c r="D17" s="106">
        <v>579.04</v>
      </c>
      <c r="E17" s="107">
        <v>0</v>
      </c>
      <c r="F17" s="106"/>
      <c r="G17" s="107"/>
      <c r="H17" s="106"/>
      <c r="I17" s="107"/>
      <c r="J17" s="113">
        <f t="shared" si="0"/>
        <v>579.04</v>
      </c>
    </row>
    <row r="18" spans="1:10" x14ac:dyDescent="0.3">
      <c r="A18" s="110" t="s">
        <v>28</v>
      </c>
      <c r="B18" s="111">
        <v>7490.42</v>
      </c>
      <c r="C18" s="112">
        <v>0</v>
      </c>
      <c r="D18" s="106"/>
      <c r="E18" s="107"/>
      <c r="F18" s="106"/>
      <c r="G18" s="107"/>
      <c r="H18" s="106"/>
      <c r="I18" s="107"/>
      <c r="J18" s="113">
        <f t="shared" si="0"/>
        <v>0</v>
      </c>
    </row>
    <row r="19" spans="1:10" x14ac:dyDescent="0.3">
      <c r="A19" s="110" t="s">
        <v>29</v>
      </c>
      <c r="B19" s="111">
        <v>0</v>
      </c>
      <c r="C19" s="112">
        <v>15309.21</v>
      </c>
      <c r="D19" s="106">
        <v>7094.14</v>
      </c>
      <c r="E19" s="107">
        <v>0</v>
      </c>
      <c r="F19" s="106"/>
      <c r="G19" s="107"/>
      <c r="H19" s="106"/>
      <c r="I19" s="107"/>
      <c r="J19" s="113">
        <f t="shared" si="0"/>
        <v>7094.14</v>
      </c>
    </row>
    <row r="20" spans="1:10" x14ac:dyDescent="0.3">
      <c r="A20" s="110" t="s">
        <v>30</v>
      </c>
      <c r="B20" s="111">
        <v>0</v>
      </c>
      <c r="C20" s="112">
        <v>10426.120000000001</v>
      </c>
      <c r="D20" s="106">
        <v>2438.6799999999998</v>
      </c>
      <c r="E20" s="107">
        <v>0</v>
      </c>
      <c r="F20" s="106"/>
      <c r="G20" s="107"/>
      <c r="H20" s="106"/>
      <c r="I20" s="107"/>
      <c r="J20" s="113">
        <f t="shared" si="0"/>
        <v>2438.6799999999998</v>
      </c>
    </row>
    <row r="21" spans="1:10" x14ac:dyDescent="0.3">
      <c r="A21" s="110" t="s">
        <v>31</v>
      </c>
      <c r="B21" s="111">
        <v>3513.66</v>
      </c>
      <c r="C21" s="112">
        <v>0</v>
      </c>
      <c r="D21" s="106">
        <v>0</v>
      </c>
      <c r="E21" s="107">
        <v>3201.97</v>
      </c>
      <c r="F21" s="106"/>
      <c r="G21" s="107"/>
      <c r="H21" s="106"/>
      <c r="I21" s="107"/>
      <c r="J21" s="113">
        <f t="shared" si="0"/>
        <v>-3201.97</v>
      </c>
    </row>
    <row r="22" spans="1:10" x14ac:dyDescent="0.3">
      <c r="A22" s="110" t="s">
        <v>32</v>
      </c>
      <c r="B22" s="111">
        <v>988.8</v>
      </c>
      <c r="C22" s="112">
        <v>0</v>
      </c>
      <c r="D22" s="106">
        <v>424.51</v>
      </c>
      <c r="E22" s="107">
        <v>0</v>
      </c>
      <c r="F22" s="106"/>
      <c r="G22" s="107"/>
      <c r="H22" s="106"/>
      <c r="I22" s="107"/>
      <c r="J22" s="113">
        <f t="shared" si="0"/>
        <v>424.51</v>
      </c>
    </row>
    <row r="23" spans="1:10" x14ac:dyDescent="0.3">
      <c r="A23" s="110" t="s">
        <v>33</v>
      </c>
      <c r="B23" s="111">
        <v>1941.33</v>
      </c>
      <c r="C23" s="112">
        <v>0</v>
      </c>
      <c r="D23" s="106">
        <v>715.88</v>
      </c>
      <c r="E23" s="107">
        <v>0</v>
      </c>
      <c r="F23" s="106"/>
      <c r="G23" s="107"/>
      <c r="H23" s="106"/>
      <c r="I23" s="107"/>
      <c r="J23" s="113">
        <f t="shared" si="0"/>
        <v>715.88</v>
      </c>
    </row>
    <row r="24" spans="1:10" x14ac:dyDescent="0.3">
      <c r="A24" s="110" t="s">
        <v>34</v>
      </c>
      <c r="B24" s="111">
        <v>14004.36</v>
      </c>
      <c r="C24" s="112">
        <v>0</v>
      </c>
      <c r="D24" s="106">
        <v>9690.9599999999991</v>
      </c>
      <c r="E24" s="107">
        <v>0</v>
      </c>
      <c r="F24" s="106"/>
      <c r="G24" s="107"/>
      <c r="H24" s="106"/>
      <c r="I24" s="107"/>
      <c r="J24" s="113">
        <f t="shared" si="0"/>
        <v>9690.9599999999991</v>
      </c>
    </row>
    <row r="25" spans="1:10" x14ac:dyDescent="0.3">
      <c r="A25" s="110" t="s">
        <v>35</v>
      </c>
      <c r="B25" s="111">
        <v>183.01</v>
      </c>
      <c r="C25" s="112">
        <v>0</v>
      </c>
      <c r="D25" s="106">
        <v>0</v>
      </c>
      <c r="E25" s="107">
        <v>1279.8599999999999</v>
      </c>
      <c r="F25" s="106"/>
      <c r="G25" s="107"/>
      <c r="H25" s="106"/>
      <c r="I25" s="107"/>
      <c r="J25" s="113">
        <f t="shared" si="0"/>
        <v>-1279.8599999999999</v>
      </c>
    </row>
    <row r="26" spans="1:10" x14ac:dyDescent="0.3">
      <c r="A26" s="110" t="s">
        <v>36</v>
      </c>
      <c r="B26" s="111">
        <v>273.25</v>
      </c>
      <c r="C26" s="112">
        <v>0</v>
      </c>
      <c r="D26" s="106">
        <v>0</v>
      </c>
      <c r="E26" s="107">
        <v>0</v>
      </c>
      <c r="F26" s="106"/>
      <c r="G26" s="107"/>
      <c r="H26" s="106"/>
      <c r="I26" s="107"/>
      <c r="J26" s="113">
        <f t="shared" si="0"/>
        <v>0</v>
      </c>
    </row>
    <row r="27" spans="1:10" x14ac:dyDescent="0.3">
      <c r="A27" s="110" t="s">
        <v>37</v>
      </c>
      <c r="B27" s="111">
        <v>0</v>
      </c>
      <c r="C27" s="112">
        <v>1733.43</v>
      </c>
      <c r="D27" s="106">
        <v>0</v>
      </c>
      <c r="E27" s="107">
        <v>1174.8499999999999</v>
      </c>
      <c r="F27" s="106"/>
      <c r="G27" s="107"/>
      <c r="H27" s="106"/>
      <c r="I27" s="107"/>
      <c r="J27" s="113">
        <f t="shared" si="0"/>
        <v>-1174.8499999999999</v>
      </c>
    </row>
    <row r="28" spans="1:10" x14ac:dyDescent="0.3">
      <c r="A28" s="110" t="s">
        <v>38</v>
      </c>
      <c r="B28" s="111">
        <v>0</v>
      </c>
      <c r="C28" s="112">
        <v>6647.7</v>
      </c>
      <c r="D28" s="106">
        <v>0</v>
      </c>
      <c r="E28" s="107">
        <v>155.59</v>
      </c>
      <c r="F28" s="106"/>
      <c r="G28" s="107"/>
      <c r="H28" s="106"/>
      <c r="I28" s="107"/>
      <c r="J28" s="113">
        <f t="shared" si="0"/>
        <v>-155.59</v>
      </c>
    </row>
    <row r="29" spans="1:10" x14ac:dyDescent="0.3">
      <c r="A29" s="110" t="s">
        <v>39</v>
      </c>
      <c r="B29" s="111">
        <v>0</v>
      </c>
      <c r="C29" s="112">
        <v>6530.19</v>
      </c>
      <c r="D29" s="106">
        <v>388.98</v>
      </c>
      <c r="E29" s="107">
        <v>0</v>
      </c>
      <c r="F29" s="106"/>
      <c r="G29" s="107"/>
      <c r="H29" s="106"/>
      <c r="I29" s="107"/>
      <c r="J29" s="113">
        <f t="shared" si="0"/>
        <v>388.98</v>
      </c>
    </row>
    <row r="30" spans="1:10" x14ac:dyDescent="0.3">
      <c r="A30" s="110" t="s">
        <v>40</v>
      </c>
      <c r="B30" s="111">
        <v>0</v>
      </c>
      <c r="C30" s="112">
        <v>6649.47</v>
      </c>
      <c r="D30" s="106">
        <v>0</v>
      </c>
      <c r="E30" s="107">
        <v>0</v>
      </c>
      <c r="F30" s="106"/>
      <c r="G30" s="107"/>
      <c r="H30" s="106"/>
      <c r="I30" s="107"/>
      <c r="J30" s="113">
        <f t="shared" si="0"/>
        <v>0</v>
      </c>
    </row>
    <row r="31" spans="1:10" x14ac:dyDescent="0.3">
      <c r="A31" s="110" t="s">
        <v>41</v>
      </c>
      <c r="B31" s="111">
        <v>7031.2</v>
      </c>
      <c r="C31" s="112">
        <v>0</v>
      </c>
      <c r="D31" s="106">
        <v>0</v>
      </c>
      <c r="E31" s="107">
        <v>148.04</v>
      </c>
      <c r="F31" s="106"/>
      <c r="G31" s="107"/>
      <c r="H31" s="106"/>
      <c r="I31" s="107"/>
      <c r="J31" s="113">
        <f t="shared" si="0"/>
        <v>-148.04</v>
      </c>
    </row>
    <row r="32" spans="1:10" x14ac:dyDescent="0.3">
      <c r="A32" s="110" t="s">
        <v>42</v>
      </c>
      <c r="B32" s="111">
        <v>21953.1</v>
      </c>
      <c r="C32" s="112">
        <v>0</v>
      </c>
      <c r="D32" s="106">
        <v>14923</v>
      </c>
      <c r="E32" s="107">
        <v>0</v>
      </c>
      <c r="F32" s="106"/>
      <c r="G32" s="107"/>
      <c r="H32" s="106"/>
      <c r="I32" s="107"/>
      <c r="J32" s="113">
        <f t="shared" si="0"/>
        <v>14923</v>
      </c>
    </row>
    <row r="33" spans="1:10" x14ac:dyDescent="0.3">
      <c r="A33" s="110" t="s">
        <v>43</v>
      </c>
      <c r="B33" s="111">
        <v>1793.59</v>
      </c>
      <c r="C33" s="112">
        <v>0</v>
      </c>
      <c r="D33" s="106">
        <v>27.16</v>
      </c>
      <c r="E33" s="107">
        <v>0</v>
      </c>
      <c r="F33" s="106"/>
      <c r="G33" s="107"/>
      <c r="H33" s="106"/>
      <c r="I33" s="107"/>
      <c r="J33" s="113">
        <f t="shared" si="0"/>
        <v>27.16</v>
      </c>
    </row>
    <row r="34" spans="1:10" x14ac:dyDescent="0.3">
      <c r="A34" s="110" t="s">
        <v>44</v>
      </c>
      <c r="B34" s="111">
        <v>0</v>
      </c>
      <c r="C34" s="112">
        <v>8723.77</v>
      </c>
      <c r="D34" s="106">
        <v>0</v>
      </c>
      <c r="E34" s="107">
        <v>5522.77</v>
      </c>
      <c r="F34" s="106"/>
      <c r="G34" s="107"/>
      <c r="H34" s="106"/>
      <c r="I34" s="107"/>
      <c r="J34" s="113">
        <f t="shared" si="0"/>
        <v>-5522.77</v>
      </c>
    </row>
    <row r="35" spans="1:10" x14ac:dyDescent="0.3">
      <c r="A35" s="110" t="s">
        <v>45</v>
      </c>
      <c r="B35" s="111">
        <v>0</v>
      </c>
      <c r="C35" s="112">
        <v>2365.04</v>
      </c>
      <c r="D35" s="106">
        <v>0</v>
      </c>
      <c r="E35" s="107">
        <v>0</v>
      </c>
      <c r="F35" s="106"/>
      <c r="G35" s="107"/>
      <c r="H35" s="106"/>
      <c r="I35" s="107"/>
      <c r="J35" s="113">
        <f t="shared" si="0"/>
        <v>0</v>
      </c>
    </row>
    <row r="36" spans="1:10" x14ac:dyDescent="0.3">
      <c r="A36" s="110" t="s">
        <v>46</v>
      </c>
      <c r="B36" s="111">
        <v>0</v>
      </c>
      <c r="C36" s="112">
        <v>7079.87</v>
      </c>
      <c r="D36" s="106">
        <v>0</v>
      </c>
      <c r="E36" s="107">
        <v>2094.6799999999998</v>
      </c>
      <c r="F36" s="106"/>
      <c r="G36" s="107"/>
      <c r="H36" s="106"/>
      <c r="I36" s="107"/>
      <c r="J36" s="113">
        <f t="shared" si="0"/>
        <v>-2094.6799999999998</v>
      </c>
    </row>
    <row r="37" spans="1:10" x14ac:dyDescent="0.3">
      <c r="A37" s="110" t="s">
        <v>47</v>
      </c>
      <c r="B37" s="111">
        <v>0</v>
      </c>
      <c r="C37" s="112">
        <v>1495.65</v>
      </c>
      <c r="D37" s="106">
        <v>2607.9</v>
      </c>
      <c r="E37" s="107">
        <v>0</v>
      </c>
      <c r="F37" s="106"/>
      <c r="G37" s="107"/>
      <c r="H37" s="106"/>
      <c r="I37" s="107"/>
      <c r="J37" s="113">
        <f t="shared" si="0"/>
        <v>2607.9</v>
      </c>
    </row>
    <row r="38" spans="1:10" x14ac:dyDescent="0.3">
      <c r="A38" s="110" t="s">
        <v>48</v>
      </c>
      <c r="B38" s="111">
        <v>4486.96</v>
      </c>
      <c r="C38" s="112">
        <v>0</v>
      </c>
      <c r="D38" s="106">
        <v>0</v>
      </c>
      <c r="E38" s="107">
        <v>6452.89</v>
      </c>
      <c r="F38" s="106"/>
      <c r="G38" s="107"/>
      <c r="H38" s="106"/>
      <c r="I38" s="107"/>
      <c r="J38" s="113">
        <f t="shared" si="0"/>
        <v>-6452.89</v>
      </c>
    </row>
    <row r="39" spans="1:10" x14ac:dyDescent="0.3">
      <c r="A39" s="110" t="s">
        <v>49</v>
      </c>
      <c r="B39" s="111">
        <v>5152.1400000000003</v>
      </c>
      <c r="C39" s="112">
        <v>0</v>
      </c>
      <c r="D39" s="106">
        <v>0</v>
      </c>
      <c r="E39" s="107">
        <v>7466.4</v>
      </c>
      <c r="F39" s="106"/>
      <c r="G39" s="107"/>
      <c r="H39" s="106"/>
      <c r="I39" s="107"/>
      <c r="J39" s="113">
        <f t="shared" si="0"/>
        <v>-7466.4</v>
      </c>
    </row>
    <row r="40" spans="1:10" x14ac:dyDescent="0.3">
      <c r="A40" s="110" t="s">
        <v>50</v>
      </c>
      <c r="B40" s="111">
        <v>0</v>
      </c>
      <c r="C40" s="112">
        <v>32293.38</v>
      </c>
      <c r="D40" s="106">
        <v>0</v>
      </c>
      <c r="E40" s="107">
        <v>8882.85</v>
      </c>
      <c r="F40" s="106"/>
      <c r="G40" s="107"/>
      <c r="H40" s="106"/>
      <c r="I40" s="107"/>
      <c r="J40" s="113">
        <f t="shared" si="0"/>
        <v>-8882.85</v>
      </c>
    </row>
    <row r="41" spans="1:10" x14ac:dyDescent="0.3">
      <c r="A41" s="110" t="s">
        <v>51</v>
      </c>
      <c r="B41" s="111">
        <v>6708.44</v>
      </c>
      <c r="C41" s="112">
        <v>0</v>
      </c>
      <c r="D41" s="106">
        <v>0</v>
      </c>
      <c r="E41" s="107">
        <v>87.05</v>
      </c>
      <c r="F41" s="106"/>
      <c r="G41" s="107"/>
      <c r="H41" s="106"/>
      <c r="I41" s="107"/>
      <c r="J41" s="113">
        <f t="shared" si="0"/>
        <v>-87.05</v>
      </c>
    </row>
    <row r="42" spans="1:10" x14ac:dyDescent="0.3">
      <c r="A42" s="110" t="s">
        <v>52</v>
      </c>
      <c r="B42" s="111">
        <v>0</v>
      </c>
      <c r="C42" s="112">
        <v>1623.14</v>
      </c>
      <c r="D42" s="106">
        <v>874.17</v>
      </c>
      <c r="E42" s="107">
        <v>0</v>
      </c>
      <c r="F42" s="106"/>
      <c r="G42" s="107"/>
      <c r="H42" s="106"/>
      <c r="I42" s="107"/>
      <c r="J42" s="113">
        <f t="shared" si="0"/>
        <v>874.17</v>
      </c>
    </row>
    <row r="43" spans="1:10" x14ac:dyDescent="0.3">
      <c r="A43" s="110" t="s">
        <v>53</v>
      </c>
      <c r="B43" s="111">
        <v>3329.36</v>
      </c>
      <c r="C43" s="112">
        <v>0</v>
      </c>
      <c r="D43" s="106">
        <v>5390.02</v>
      </c>
      <c r="E43" s="107">
        <v>0</v>
      </c>
      <c r="F43" s="106"/>
      <c r="G43" s="107"/>
      <c r="H43" s="106"/>
      <c r="I43" s="107"/>
      <c r="J43" s="113">
        <f t="shared" si="0"/>
        <v>5390.02</v>
      </c>
    </row>
    <row r="44" spans="1:10" x14ac:dyDescent="0.3">
      <c r="A44" s="110" t="s">
        <v>54</v>
      </c>
      <c r="B44" s="111">
        <v>2581.71</v>
      </c>
      <c r="C44" s="112">
        <v>0</v>
      </c>
      <c r="D44" s="106">
        <v>2117.27</v>
      </c>
      <c r="E44" s="107">
        <v>0</v>
      </c>
      <c r="F44" s="106"/>
      <c r="G44" s="107"/>
      <c r="H44" s="106"/>
      <c r="I44" s="107"/>
      <c r="J44" s="113">
        <f t="shared" si="0"/>
        <v>2117.27</v>
      </c>
    </row>
    <row r="45" spans="1:10" x14ac:dyDescent="0.3">
      <c r="A45" s="110" t="s">
        <v>55</v>
      </c>
      <c r="B45" s="111">
        <v>0</v>
      </c>
      <c r="C45" s="112">
        <v>329.96</v>
      </c>
      <c r="D45" s="106">
        <v>0</v>
      </c>
      <c r="E45" s="107">
        <v>553.05999999999995</v>
      </c>
      <c r="F45" s="106"/>
      <c r="G45" s="107"/>
      <c r="H45" s="106"/>
      <c r="I45" s="107"/>
      <c r="J45" s="113">
        <f t="shared" si="0"/>
        <v>-553.05999999999995</v>
      </c>
    </row>
    <row r="46" spans="1:10" x14ac:dyDescent="0.3">
      <c r="A46" s="110" t="s">
        <v>56</v>
      </c>
      <c r="B46" s="111">
        <v>0</v>
      </c>
      <c r="C46" s="112">
        <v>5264.94</v>
      </c>
      <c r="D46" s="106">
        <v>0</v>
      </c>
      <c r="E46" s="107">
        <v>302.83999999999997</v>
      </c>
      <c r="F46" s="106"/>
      <c r="G46" s="107"/>
      <c r="H46" s="106"/>
      <c r="I46" s="107"/>
      <c r="J46" s="113">
        <f t="shared" si="0"/>
        <v>-302.83999999999997</v>
      </c>
    </row>
    <row r="47" spans="1:10" x14ac:dyDescent="0.3">
      <c r="A47" s="110" t="s">
        <v>57</v>
      </c>
      <c r="B47" s="111">
        <v>0</v>
      </c>
      <c r="C47" s="112">
        <v>24337.31</v>
      </c>
      <c r="D47" s="106">
        <v>32439.67</v>
      </c>
      <c r="E47" s="107">
        <v>0</v>
      </c>
      <c r="F47" s="106"/>
      <c r="G47" s="107"/>
      <c r="H47" s="106"/>
      <c r="I47" s="107"/>
      <c r="J47" s="113">
        <f t="shared" si="0"/>
        <v>32439.67</v>
      </c>
    </row>
    <row r="48" spans="1:10" x14ac:dyDescent="0.3">
      <c r="A48" s="110" t="s">
        <v>58</v>
      </c>
      <c r="B48" s="111">
        <v>0</v>
      </c>
      <c r="C48" s="112">
        <v>1243.07</v>
      </c>
      <c r="D48" s="106">
        <v>0</v>
      </c>
      <c r="E48" s="107">
        <v>881.05</v>
      </c>
      <c r="F48" s="106"/>
      <c r="G48" s="107"/>
      <c r="H48" s="106"/>
      <c r="I48" s="107"/>
      <c r="J48" s="113">
        <f t="shared" si="0"/>
        <v>-881.05</v>
      </c>
    </row>
    <row r="49" spans="1:10" x14ac:dyDescent="0.3">
      <c r="A49" s="110" t="s">
        <v>59</v>
      </c>
      <c r="B49" s="111">
        <v>0</v>
      </c>
      <c r="C49" s="112">
        <v>1672.33</v>
      </c>
      <c r="D49" s="106">
        <v>4410.8100000000004</v>
      </c>
      <c r="E49" s="107">
        <v>0</v>
      </c>
      <c r="F49" s="106"/>
      <c r="G49" s="107"/>
      <c r="H49" s="106"/>
      <c r="I49" s="107"/>
      <c r="J49" s="113">
        <f t="shared" si="0"/>
        <v>4410.8100000000004</v>
      </c>
    </row>
    <row r="50" spans="1:10" x14ac:dyDescent="0.3">
      <c r="A50" s="110" t="s">
        <v>60</v>
      </c>
      <c r="B50" s="111">
        <v>0</v>
      </c>
      <c r="C50" s="112">
        <v>5439.37</v>
      </c>
      <c r="D50" s="106">
        <v>0</v>
      </c>
      <c r="E50" s="107">
        <v>6680.46</v>
      </c>
      <c r="F50" s="106"/>
      <c r="G50" s="107"/>
      <c r="H50" s="106"/>
      <c r="I50" s="107"/>
      <c r="J50" s="113">
        <f t="shared" si="0"/>
        <v>-6680.46</v>
      </c>
    </row>
    <row r="51" spans="1:10" x14ac:dyDescent="0.3">
      <c r="A51" s="110" t="s">
        <v>61</v>
      </c>
      <c r="B51" s="111">
        <v>0</v>
      </c>
      <c r="C51" s="112">
        <v>16850.16</v>
      </c>
      <c r="D51" s="106">
        <v>5001.07</v>
      </c>
      <c r="E51" s="107">
        <v>0</v>
      </c>
      <c r="F51" s="106"/>
      <c r="G51" s="107"/>
      <c r="H51" s="106"/>
      <c r="I51" s="107"/>
      <c r="J51" s="113">
        <f t="shared" si="0"/>
        <v>5001.07</v>
      </c>
    </row>
    <row r="52" spans="1:10" x14ac:dyDescent="0.3">
      <c r="A52" s="110" t="s">
        <v>62</v>
      </c>
      <c r="B52" s="111">
        <v>979.13</v>
      </c>
      <c r="C52" s="112">
        <v>0</v>
      </c>
      <c r="D52" s="106">
        <v>154.71</v>
      </c>
      <c r="E52" s="107">
        <v>0</v>
      </c>
      <c r="F52" s="106"/>
      <c r="G52" s="107"/>
      <c r="H52" s="106"/>
      <c r="I52" s="107"/>
      <c r="J52" s="113">
        <f t="shared" si="0"/>
        <v>154.71</v>
      </c>
    </row>
    <row r="53" spans="1:10" x14ac:dyDescent="0.3">
      <c r="A53" s="110" t="s">
        <v>63</v>
      </c>
      <c r="B53" s="111">
        <v>0</v>
      </c>
      <c r="C53" s="112">
        <v>10933.52</v>
      </c>
      <c r="D53" s="106">
        <v>0</v>
      </c>
      <c r="E53" s="107">
        <v>10933.52</v>
      </c>
      <c r="F53" s="106"/>
      <c r="G53" s="107"/>
      <c r="H53" s="106"/>
      <c r="I53" s="107"/>
      <c r="J53" s="113">
        <f t="shared" si="0"/>
        <v>-10933.52</v>
      </c>
    </row>
    <row r="54" spans="1:10" x14ac:dyDescent="0.3">
      <c r="A54" s="110" t="s">
        <v>64</v>
      </c>
      <c r="B54" s="111">
        <v>0</v>
      </c>
      <c r="C54" s="112">
        <v>7453.6</v>
      </c>
      <c r="D54" s="106">
        <v>0</v>
      </c>
      <c r="E54" s="107">
        <v>36807.800000000003</v>
      </c>
      <c r="F54" s="106"/>
      <c r="G54" s="107"/>
      <c r="H54" s="106"/>
      <c r="I54" s="107"/>
      <c r="J54" s="113">
        <f t="shared" si="0"/>
        <v>-36807.800000000003</v>
      </c>
    </row>
    <row r="55" spans="1:10" x14ac:dyDescent="0.3">
      <c r="A55" s="110" t="s">
        <v>11</v>
      </c>
      <c r="B55" s="111">
        <v>16703.439999999999</v>
      </c>
      <c r="C55" s="112">
        <v>0</v>
      </c>
      <c r="D55" s="106">
        <v>0</v>
      </c>
      <c r="E55" s="107">
        <v>1513.09</v>
      </c>
      <c r="F55" s="106"/>
      <c r="G55" s="107"/>
      <c r="H55" s="106"/>
      <c r="I55" s="107"/>
      <c r="J55" s="113">
        <f t="shared" si="0"/>
        <v>-1513.09</v>
      </c>
    </row>
    <row r="56" spans="1:10" x14ac:dyDescent="0.3">
      <c r="A56" s="110" t="s">
        <v>65</v>
      </c>
      <c r="B56" s="111">
        <v>0</v>
      </c>
      <c r="C56" s="112">
        <v>4585.1499999999996</v>
      </c>
      <c r="D56" s="106">
        <v>4374.3</v>
      </c>
      <c r="E56" s="107">
        <v>0</v>
      </c>
      <c r="F56" s="106"/>
      <c r="G56" s="107"/>
      <c r="H56" s="106"/>
      <c r="I56" s="107"/>
      <c r="J56" s="113">
        <f t="shared" si="0"/>
        <v>4374.3</v>
      </c>
    </row>
    <row r="57" spans="1:10" x14ac:dyDescent="0.3">
      <c r="A57" s="110" t="s">
        <v>66</v>
      </c>
      <c r="B57" s="111">
        <v>12843.84</v>
      </c>
      <c r="C57" s="112">
        <v>0</v>
      </c>
      <c r="D57" s="106">
        <v>6450.16</v>
      </c>
      <c r="E57" s="107">
        <v>0</v>
      </c>
      <c r="F57" s="106"/>
      <c r="G57" s="107"/>
      <c r="H57" s="106"/>
      <c r="I57" s="107"/>
      <c r="J57" s="113">
        <f t="shared" si="0"/>
        <v>6450.16</v>
      </c>
    </row>
    <row r="58" spans="1:10" x14ac:dyDescent="0.3">
      <c r="A58" s="110" t="s">
        <v>67</v>
      </c>
      <c r="B58" s="111">
        <v>0</v>
      </c>
      <c r="C58" s="112">
        <v>11731.22</v>
      </c>
      <c r="D58" s="106">
        <v>0</v>
      </c>
      <c r="E58" s="107">
        <v>513.41999999999996</v>
      </c>
      <c r="F58" s="106"/>
      <c r="G58" s="107"/>
      <c r="H58" s="106"/>
      <c r="I58" s="107"/>
      <c r="J58" s="113">
        <f t="shared" si="0"/>
        <v>-513.41999999999996</v>
      </c>
    </row>
    <row r="59" spans="1:10" x14ac:dyDescent="0.3">
      <c r="A59" s="110" t="s">
        <v>68</v>
      </c>
      <c r="B59" s="111">
        <v>3669.46</v>
      </c>
      <c r="C59" s="112">
        <v>0</v>
      </c>
      <c r="D59" s="106">
        <v>0</v>
      </c>
      <c r="E59" s="107">
        <v>4087.68</v>
      </c>
      <c r="F59" s="106"/>
      <c r="G59" s="107"/>
      <c r="H59" s="106"/>
      <c r="I59" s="107"/>
      <c r="J59" s="113">
        <f t="shared" si="0"/>
        <v>-4087.68</v>
      </c>
    </row>
    <row r="60" spans="1:10" x14ac:dyDescent="0.3">
      <c r="A60" s="110" t="s">
        <v>69</v>
      </c>
      <c r="B60" s="111">
        <v>0</v>
      </c>
      <c r="C60" s="112">
        <v>32144.26</v>
      </c>
      <c r="D60" s="106">
        <v>572.04999999999995</v>
      </c>
      <c r="E60" s="107">
        <v>0</v>
      </c>
      <c r="F60" s="106"/>
      <c r="G60" s="107"/>
      <c r="H60" s="106"/>
      <c r="I60" s="107"/>
      <c r="J60" s="113">
        <f t="shared" si="0"/>
        <v>572.04999999999995</v>
      </c>
    </row>
    <row r="61" spans="1:10" x14ac:dyDescent="0.3">
      <c r="A61" s="110" t="s">
        <v>110</v>
      </c>
      <c r="B61" s="111">
        <v>0</v>
      </c>
      <c r="C61" s="112">
        <v>4561.53</v>
      </c>
      <c r="D61" s="106">
        <v>6268.34</v>
      </c>
      <c r="E61" s="107">
        <v>0</v>
      </c>
      <c r="F61" s="106"/>
      <c r="G61" s="107"/>
      <c r="H61" s="106"/>
      <c r="I61" s="107"/>
      <c r="J61" s="113">
        <f t="shared" si="0"/>
        <v>6268.34</v>
      </c>
    </row>
    <row r="62" spans="1:10" x14ac:dyDescent="0.3">
      <c r="A62" s="110" t="s">
        <v>112</v>
      </c>
      <c r="B62" s="111">
        <v>16783.97</v>
      </c>
      <c r="C62" s="112">
        <v>0</v>
      </c>
      <c r="D62" s="106">
        <v>0</v>
      </c>
      <c r="E62" s="107">
        <v>0</v>
      </c>
      <c r="F62" s="106"/>
      <c r="G62" s="107"/>
      <c r="H62" s="106"/>
      <c r="I62" s="107"/>
      <c r="J62" s="113">
        <f t="shared" si="0"/>
        <v>0</v>
      </c>
    </row>
    <row r="63" spans="1:10" x14ac:dyDescent="0.3">
      <c r="A63" s="110" t="s">
        <v>71</v>
      </c>
      <c r="B63" s="111">
        <v>0</v>
      </c>
      <c r="C63" s="112">
        <v>0</v>
      </c>
      <c r="D63" s="106">
        <v>0</v>
      </c>
      <c r="E63" s="107">
        <v>0</v>
      </c>
      <c r="F63" s="106"/>
      <c r="G63" s="107"/>
      <c r="H63" s="106"/>
      <c r="I63" s="107"/>
      <c r="J63" s="113">
        <f t="shared" si="0"/>
        <v>0</v>
      </c>
    </row>
    <row r="64" spans="1:10" x14ac:dyDescent="0.3">
      <c r="A64" s="110" t="s">
        <v>72</v>
      </c>
      <c r="B64" s="111">
        <v>1575.74</v>
      </c>
      <c r="C64" s="112">
        <v>0</v>
      </c>
      <c r="D64" s="106">
        <v>0</v>
      </c>
      <c r="E64" s="107">
        <v>2621.23</v>
      </c>
      <c r="F64" s="106"/>
      <c r="G64" s="107"/>
      <c r="H64" s="106"/>
      <c r="I64" s="107"/>
      <c r="J64" s="113">
        <f t="shared" si="0"/>
        <v>-2621.23</v>
      </c>
    </row>
    <row r="65" spans="1:10" x14ac:dyDescent="0.3">
      <c r="A65" s="110" t="s">
        <v>73</v>
      </c>
      <c r="B65" s="111">
        <v>0</v>
      </c>
      <c r="C65" s="112">
        <v>470.08</v>
      </c>
      <c r="D65" s="106">
        <v>555.36</v>
      </c>
      <c r="E65" s="107">
        <v>0</v>
      </c>
      <c r="F65" s="106"/>
      <c r="G65" s="107"/>
      <c r="H65" s="106"/>
      <c r="I65" s="107"/>
      <c r="J65" s="113">
        <f t="shared" si="0"/>
        <v>555.36</v>
      </c>
    </row>
    <row r="66" spans="1:10" x14ac:dyDescent="0.3">
      <c r="A66" s="110" t="s">
        <v>74</v>
      </c>
      <c r="B66" s="111">
        <v>0</v>
      </c>
      <c r="C66" s="112">
        <v>0</v>
      </c>
      <c r="D66" s="106"/>
      <c r="E66" s="107"/>
      <c r="F66" s="106"/>
      <c r="G66" s="107"/>
      <c r="H66" s="106"/>
      <c r="I66" s="107"/>
      <c r="J66" s="113">
        <f t="shared" si="0"/>
        <v>0</v>
      </c>
    </row>
    <row r="67" spans="1:10" x14ac:dyDescent="0.3">
      <c r="A67" s="110" t="s">
        <v>75</v>
      </c>
      <c r="B67" s="111">
        <v>0</v>
      </c>
      <c r="C67" s="112">
        <v>4536.0200000000004</v>
      </c>
      <c r="D67" s="106">
        <v>820.26</v>
      </c>
      <c r="E67" s="107">
        <v>0</v>
      </c>
      <c r="F67" s="106"/>
      <c r="G67" s="107"/>
      <c r="H67" s="106"/>
      <c r="I67" s="107"/>
      <c r="J67" s="113">
        <f t="shared" si="0"/>
        <v>820.26</v>
      </c>
    </row>
    <row r="68" spans="1:10" x14ac:dyDescent="0.3">
      <c r="A68" s="110" t="s">
        <v>76</v>
      </c>
      <c r="B68" s="111">
        <v>0</v>
      </c>
      <c r="C68" s="112">
        <v>731.66</v>
      </c>
      <c r="D68" s="106">
        <v>607.46</v>
      </c>
      <c r="E68" s="107">
        <v>0</v>
      </c>
      <c r="F68" s="106"/>
      <c r="G68" s="107"/>
      <c r="H68" s="106"/>
      <c r="I68" s="107"/>
      <c r="J68" s="113">
        <f t="shared" si="0"/>
        <v>607.46</v>
      </c>
    </row>
    <row r="69" spans="1:10" x14ac:dyDescent="0.3">
      <c r="A69" s="110" t="s">
        <v>77</v>
      </c>
      <c r="B69" s="111">
        <v>5089.3900000000003</v>
      </c>
      <c r="C69" s="112">
        <v>0</v>
      </c>
      <c r="D69" s="106">
        <v>397.96</v>
      </c>
      <c r="E69" s="107">
        <v>0</v>
      </c>
      <c r="F69" s="106"/>
      <c r="G69" s="107"/>
      <c r="H69" s="106"/>
      <c r="I69" s="107"/>
      <c r="J69" s="113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397.96</v>
      </c>
    </row>
    <row r="70" spans="1:10" ht="16.5" thickBot="1" x14ac:dyDescent="0.35">
      <c r="A70" s="114" t="s">
        <v>78</v>
      </c>
      <c r="B70" s="115">
        <v>2047.29</v>
      </c>
      <c r="C70" s="116">
        <v>0</v>
      </c>
      <c r="D70" s="108">
        <v>742.77</v>
      </c>
      <c r="E70" s="109">
        <v>0</v>
      </c>
      <c r="F70" s="108"/>
      <c r="G70" s="109"/>
      <c r="H70" s="108"/>
      <c r="I70" s="109"/>
      <c r="J70" s="117">
        <f t="shared" si="1"/>
        <v>742.77</v>
      </c>
    </row>
    <row r="71" spans="1:10" ht="17.25" thickTop="1" thickBot="1" x14ac:dyDescent="0.35">
      <c r="A71" s="118" t="s">
        <v>242</v>
      </c>
      <c r="B71" s="119">
        <f>SUM(B4:B70)</f>
        <v>228770.75999999998</v>
      </c>
      <c r="C71" s="120">
        <f t="shared" ref="C71:J71" si="2">SUM(C4:C70)</f>
        <v>313648.2</v>
      </c>
      <c r="D71" s="121">
        <f t="shared" si="2"/>
        <v>140138.56</v>
      </c>
      <c r="E71" s="120">
        <f t="shared" si="2"/>
        <v>119412.49999999999</v>
      </c>
      <c r="F71" s="121">
        <f t="shared" si="2"/>
        <v>0</v>
      </c>
      <c r="G71" s="120">
        <f t="shared" si="2"/>
        <v>0</v>
      </c>
      <c r="H71" s="121">
        <f t="shared" si="2"/>
        <v>0</v>
      </c>
      <c r="I71" s="120">
        <f t="shared" si="2"/>
        <v>0</v>
      </c>
      <c r="J71" s="122">
        <f t="shared" si="2"/>
        <v>20726.05999999999</v>
      </c>
    </row>
  </sheetData>
  <sheetProtection sheet="1" objects="1" scenarios="1"/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dimension ref="A1:M69"/>
  <sheetViews>
    <sheetView topLeftCell="A50" workbookViewId="0">
      <selection activeCell="K11" sqref="K11"/>
    </sheetView>
  </sheetViews>
  <sheetFormatPr defaultRowHeight="15.75" x14ac:dyDescent="0.3"/>
  <cols>
    <col min="1" max="1" width="10.44140625" customWidth="1"/>
    <col min="8" max="11" width="11.33203125" bestFit="1" customWidth="1"/>
    <col min="12" max="12" width="10.33203125" bestFit="1" customWidth="1"/>
    <col min="13" max="13" width="11.77734375" bestFit="1" customWidth="1"/>
  </cols>
  <sheetData>
    <row r="1" spans="1:13" ht="46.5" customHeight="1" x14ac:dyDescent="0.3">
      <c r="A1" s="133" t="s">
        <v>263</v>
      </c>
      <c r="B1" s="135">
        <v>0.2</v>
      </c>
      <c r="C1" s="133" t="s">
        <v>264</v>
      </c>
      <c r="D1" s="134" t="s">
        <v>261</v>
      </c>
      <c r="F1" s="133" t="s">
        <v>266</v>
      </c>
      <c r="G1" s="131">
        <f>IFERROR(INDEX(M3:M69,MATCH(Estimate!D4,PriorActualsData!A3:A69,0)),0)</f>
        <v>0</v>
      </c>
      <c r="H1" s="133" t="s">
        <v>265</v>
      </c>
      <c r="I1" s="136">
        <f>IFERROR(ROUND((Estimate!F48-G1)/G1,4),0)</f>
        <v>0</v>
      </c>
    </row>
    <row r="2" spans="1:13" ht="41.25" x14ac:dyDescent="0.3">
      <c r="A2" s="132" t="s">
        <v>238</v>
      </c>
      <c r="B2" s="132" t="s">
        <v>104</v>
      </c>
      <c r="C2" s="132" t="s">
        <v>144</v>
      </c>
      <c r="D2" s="132" t="s">
        <v>164</v>
      </c>
      <c r="E2" s="132" t="s">
        <v>254</v>
      </c>
      <c r="F2" s="132" t="s">
        <v>255</v>
      </c>
      <c r="G2" s="132" t="s">
        <v>256</v>
      </c>
      <c r="H2" s="132" t="s">
        <v>257</v>
      </c>
      <c r="I2" s="132" t="s">
        <v>258</v>
      </c>
      <c r="J2" s="132" t="s">
        <v>259</v>
      </c>
      <c r="K2" s="132" t="s">
        <v>260</v>
      </c>
      <c r="L2" s="126" t="s">
        <v>261</v>
      </c>
      <c r="M2" s="127" t="s">
        <v>262</v>
      </c>
    </row>
    <row r="3" spans="1:13" x14ac:dyDescent="0.3">
      <c r="A3" s="128" t="s">
        <v>16</v>
      </c>
      <c r="B3" s="128">
        <v>1</v>
      </c>
      <c r="C3" s="128">
        <v>18</v>
      </c>
      <c r="D3" s="128" t="s">
        <v>183</v>
      </c>
      <c r="E3" s="128" t="s">
        <v>167</v>
      </c>
      <c r="F3" s="128" t="s">
        <v>182</v>
      </c>
      <c r="G3" s="128" t="s">
        <v>169</v>
      </c>
      <c r="H3" s="129">
        <v>41037.01</v>
      </c>
      <c r="I3" s="129">
        <v>52486.18</v>
      </c>
      <c r="J3" s="129">
        <v>52552.01</v>
      </c>
      <c r="K3" s="129">
        <v>50673.77</v>
      </c>
      <c r="L3" s="130">
        <f>ROUND(AVERAGE(H3:K3),2)</f>
        <v>49187.24</v>
      </c>
      <c r="M3" s="131">
        <f>IF(D$1="Average",L3,K3)</f>
        <v>49187.24</v>
      </c>
    </row>
    <row r="4" spans="1:13" x14ac:dyDescent="0.3">
      <c r="A4" s="128" t="s">
        <v>17</v>
      </c>
      <c r="B4" s="128">
        <v>2</v>
      </c>
      <c r="C4" s="128">
        <v>18</v>
      </c>
      <c r="D4" s="128" t="s">
        <v>183</v>
      </c>
      <c r="E4" s="128" t="s">
        <v>167</v>
      </c>
      <c r="F4" s="128" t="s">
        <v>182</v>
      </c>
      <c r="G4" s="128" t="s">
        <v>169</v>
      </c>
      <c r="H4" s="129">
        <v>7239.93</v>
      </c>
      <c r="I4" s="129">
        <v>6704.76</v>
      </c>
      <c r="J4" s="129">
        <v>9710.66</v>
      </c>
      <c r="K4" s="129">
        <v>10425.120000000001</v>
      </c>
      <c r="L4" s="130">
        <f t="shared" ref="L4:L67" si="0">ROUND(AVERAGE(H4:K4),2)</f>
        <v>8520.1200000000008</v>
      </c>
      <c r="M4" s="131">
        <f t="shared" ref="M4:M67" si="1">IF(D$1="Average",L4,K4)</f>
        <v>8520.1200000000008</v>
      </c>
    </row>
    <row r="5" spans="1:13" x14ac:dyDescent="0.3">
      <c r="A5" s="128" t="s">
        <v>18</v>
      </c>
      <c r="B5" s="128">
        <v>3</v>
      </c>
      <c r="C5" s="128">
        <v>18</v>
      </c>
      <c r="D5" s="128" t="s">
        <v>183</v>
      </c>
      <c r="E5" s="128" t="s">
        <v>167</v>
      </c>
      <c r="F5" s="128" t="s">
        <v>182</v>
      </c>
      <c r="G5" s="128" t="s">
        <v>169</v>
      </c>
      <c r="H5" s="129">
        <v>58198.94</v>
      </c>
      <c r="I5" s="129">
        <v>46027.4</v>
      </c>
      <c r="J5" s="129">
        <v>47717.33</v>
      </c>
      <c r="K5" s="129">
        <v>54187.15</v>
      </c>
      <c r="L5" s="130">
        <f t="shared" si="0"/>
        <v>51532.71</v>
      </c>
      <c r="M5" s="131">
        <f t="shared" si="1"/>
        <v>51532.71</v>
      </c>
    </row>
    <row r="6" spans="1:13" x14ac:dyDescent="0.3">
      <c r="A6" s="128" t="s">
        <v>81</v>
      </c>
      <c r="B6" s="128">
        <v>4</v>
      </c>
      <c r="C6" s="128">
        <v>18</v>
      </c>
      <c r="D6" s="128" t="s">
        <v>183</v>
      </c>
      <c r="E6" s="128" t="s">
        <v>167</v>
      </c>
      <c r="F6" s="128" t="s">
        <v>182</v>
      </c>
      <c r="G6" s="128" t="s">
        <v>169</v>
      </c>
      <c r="H6" s="129">
        <v>13967.36</v>
      </c>
      <c r="I6" s="129">
        <v>7054.8</v>
      </c>
      <c r="J6" s="129">
        <v>5735.97</v>
      </c>
      <c r="K6" s="129">
        <v>5005.3599999999997</v>
      </c>
      <c r="L6" s="130">
        <f t="shared" si="0"/>
        <v>7940.87</v>
      </c>
      <c r="M6" s="131">
        <f t="shared" si="1"/>
        <v>7940.87</v>
      </c>
    </row>
    <row r="7" spans="1:13" x14ac:dyDescent="0.3">
      <c r="A7" s="128" t="s">
        <v>19</v>
      </c>
      <c r="B7" s="128">
        <v>5</v>
      </c>
      <c r="C7" s="128">
        <v>18</v>
      </c>
      <c r="D7" s="128" t="s">
        <v>183</v>
      </c>
      <c r="E7" s="128" t="s">
        <v>167</v>
      </c>
      <c r="F7" s="128" t="s">
        <v>182</v>
      </c>
      <c r="G7" s="128" t="s">
        <v>169</v>
      </c>
      <c r="H7" s="129">
        <v>122086.28</v>
      </c>
      <c r="I7" s="129">
        <v>120579.22</v>
      </c>
      <c r="J7" s="129">
        <v>115636.53</v>
      </c>
      <c r="K7" s="129">
        <v>117662.37</v>
      </c>
      <c r="L7" s="130">
        <f t="shared" si="0"/>
        <v>118991.1</v>
      </c>
      <c r="M7" s="131">
        <f t="shared" si="1"/>
        <v>118991.1</v>
      </c>
    </row>
    <row r="8" spans="1:13" x14ac:dyDescent="0.3">
      <c r="A8" s="128" t="s">
        <v>20</v>
      </c>
      <c r="B8" s="128">
        <v>6</v>
      </c>
      <c r="C8" s="128">
        <v>18</v>
      </c>
      <c r="D8" s="128" t="s">
        <v>183</v>
      </c>
      <c r="E8" s="128" t="s">
        <v>167</v>
      </c>
      <c r="F8" s="128" t="s">
        <v>182</v>
      </c>
      <c r="G8" s="128" t="s">
        <v>169</v>
      </c>
      <c r="H8" s="129">
        <v>178283.94</v>
      </c>
      <c r="I8" s="129">
        <v>204911.39</v>
      </c>
      <c r="J8" s="129">
        <v>202960.56</v>
      </c>
      <c r="K8" s="129">
        <v>214294.99</v>
      </c>
      <c r="L8" s="130">
        <f t="shared" si="0"/>
        <v>200112.72</v>
      </c>
      <c r="M8" s="131">
        <f t="shared" si="1"/>
        <v>200112.72</v>
      </c>
    </row>
    <row r="9" spans="1:13" x14ac:dyDescent="0.3">
      <c r="A9" s="128" t="s">
        <v>21</v>
      </c>
      <c r="B9" s="128">
        <v>7</v>
      </c>
      <c r="C9" s="128">
        <v>18</v>
      </c>
      <c r="D9" s="128" t="s">
        <v>183</v>
      </c>
      <c r="E9" s="128" t="s">
        <v>167</v>
      </c>
      <c r="F9" s="128" t="s">
        <v>182</v>
      </c>
      <c r="G9" s="128" t="s">
        <v>169</v>
      </c>
      <c r="H9" s="129">
        <v>2811.5</v>
      </c>
      <c r="I9" s="129">
        <v>2092.44</v>
      </c>
      <c r="J9" s="129">
        <v>3850.74</v>
      </c>
      <c r="K9" s="129">
        <v>1859.8</v>
      </c>
      <c r="L9" s="130">
        <f t="shared" si="0"/>
        <v>2653.62</v>
      </c>
      <c r="M9" s="131">
        <f t="shared" si="1"/>
        <v>2653.62</v>
      </c>
    </row>
    <row r="10" spans="1:13" x14ac:dyDescent="0.3">
      <c r="A10" s="128" t="s">
        <v>22</v>
      </c>
      <c r="B10" s="128">
        <v>8</v>
      </c>
      <c r="C10" s="128">
        <v>18</v>
      </c>
      <c r="D10" s="128" t="s">
        <v>183</v>
      </c>
      <c r="E10" s="128" t="s">
        <v>167</v>
      </c>
      <c r="F10" s="128" t="s">
        <v>182</v>
      </c>
      <c r="G10" s="128" t="s">
        <v>169</v>
      </c>
      <c r="H10" s="129">
        <v>35026.28</v>
      </c>
      <c r="I10" s="129">
        <v>29440.31</v>
      </c>
      <c r="J10" s="129">
        <v>35012.04</v>
      </c>
      <c r="K10" s="129">
        <v>33562.51</v>
      </c>
      <c r="L10" s="130">
        <f t="shared" si="0"/>
        <v>33260.29</v>
      </c>
      <c r="M10" s="131">
        <f t="shared" si="1"/>
        <v>33260.29</v>
      </c>
    </row>
    <row r="11" spans="1:13" x14ac:dyDescent="0.3">
      <c r="A11" s="128" t="s">
        <v>23</v>
      </c>
      <c r="B11" s="128">
        <v>9</v>
      </c>
      <c r="C11" s="128">
        <v>18</v>
      </c>
      <c r="D11" s="128" t="s">
        <v>183</v>
      </c>
      <c r="E11" s="128" t="s">
        <v>167</v>
      </c>
      <c r="F11" s="128" t="s">
        <v>182</v>
      </c>
      <c r="G11" s="128" t="s">
        <v>169</v>
      </c>
      <c r="H11" s="129">
        <v>19817.919999999998</v>
      </c>
      <c r="I11" s="129">
        <v>17196.580000000002</v>
      </c>
      <c r="J11" s="129">
        <v>18720.490000000002</v>
      </c>
      <c r="K11" s="129">
        <v>19562.38</v>
      </c>
      <c r="L11" s="130">
        <f t="shared" si="0"/>
        <v>18824.34</v>
      </c>
      <c r="M11" s="131">
        <f t="shared" si="1"/>
        <v>18824.34</v>
      </c>
    </row>
    <row r="12" spans="1:13" x14ac:dyDescent="0.3">
      <c r="A12" s="128" t="s">
        <v>24</v>
      </c>
      <c r="B12" s="128">
        <v>10</v>
      </c>
      <c r="C12" s="128">
        <v>18</v>
      </c>
      <c r="D12" s="128" t="s">
        <v>183</v>
      </c>
      <c r="E12" s="128" t="s">
        <v>167</v>
      </c>
      <c r="F12" s="128" t="s">
        <v>182</v>
      </c>
      <c r="G12" s="128" t="s">
        <v>169</v>
      </c>
      <c r="H12" s="129">
        <v>14700.34</v>
      </c>
      <c r="I12" s="129">
        <v>12077.4</v>
      </c>
      <c r="J12" s="129">
        <v>12060.79</v>
      </c>
      <c r="K12" s="129">
        <v>18214.75</v>
      </c>
      <c r="L12" s="130">
        <f t="shared" si="0"/>
        <v>14263.32</v>
      </c>
      <c r="M12" s="131">
        <f t="shared" si="1"/>
        <v>14263.32</v>
      </c>
    </row>
    <row r="13" spans="1:13" x14ac:dyDescent="0.3">
      <c r="A13" s="128" t="s">
        <v>25</v>
      </c>
      <c r="B13" s="128">
        <v>11</v>
      </c>
      <c r="C13" s="128">
        <v>18</v>
      </c>
      <c r="D13" s="128" t="s">
        <v>183</v>
      </c>
      <c r="E13" s="128" t="s">
        <v>167</v>
      </c>
      <c r="F13" s="128" t="s">
        <v>182</v>
      </c>
      <c r="G13" s="128" t="s">
        <v>169</v>
      </c>
      <c r="H13" s="129">
        <v>51866.71</v>
      </c>
      <c r="I13" s="129">
        <v>57965.15</v>
      </c>
      <c r="J13" s="129">
        <v>60780.54</v>
      </c>
      <c r="K13" s="129">
        <v>63568.57</v>
      </c>
      <c r="L13" s="130">
        <f t="shared" si="0"/>
        <v>58545.24</v>
      </c>
      <c r="M13" s="131">
        <f t="shared" si="1"/>
        <v>58545.24</v>
      </c>
    </row>
    <row r="14" spans="1:13" x14ac:dyDescent="0.3">
      <c r="A14" s="128" t="s">
        <v>26</v>
      </c>
      <c r="B14" s="128">
        <v>12</v>
      </c>
      <c r="C14" s="128">
        <v>18</v>
      </c>
      <c r="D14" s="128" t="s">
        <v>183</v>
      </c>
      <c r="E14" s="128" t="s">
        <v>167</v>
      </c>
      <c r="F14" s="128" t="s">
        <v>182</v>
      </c>
      <c r="G14" s="128" t="s">
        <v>169</v>
      </c>
      <c r="H14" s="129">
        <v>16979.71</v>
      </c>
      <c r="I14" s="129">
        <v>14326.09</v>
      </c>
      <c r="J14" s="129">
        <v>13387.85</v>
      </c>
      <c r="K14" s="129">
        <v>20315.689999999999</v>
      </c>
      <c r="L14" s="130">
        <f t="shared" si="0"/>
        <v>16252.34</v>
      </c>
      <c r="M14" s="131">
        <f t="shared" si="1"/>
        <v>16252.34</v>
      </c>
    </row>
    <row r="15" spans="1:13" x14ac:dyDescent="0.3">
      <c r="A15" s="128" t="s">
        <v>109</v>
      </c>
      <c r="B15" s="128">
        <v>13</v>
      </c>
      <c r="C15" s="128">
        <v>18</v>
      </c>
      <c r="D15" s="128" t="s">
        <v>183</v>
      </c>
      <c r="E15" s="128" t="s">
        <v>167</v>
      </c>
      <c r="F15" s="128" t="s">
        <v>182</v>
      </c>
      <c r="G15" s="128" t="s">
        <v>169</v>
      </c>
      <c r="H15" s="129">
        <v>309380.65999999997</v>
      </c>
      <c r="I15" s="129">
        <v>251387.38</v>
      </c>
      <c r="J15" s="129">
        <v>277104.7</v>
      </c>
      <c r="K15" s="129">
        <v>276063.28000000003</v>
      </c>
      <c r="L15" s="130">
        <f t="shared" si="0"/>
        <v>278484.01</v>
      </c>
      <c r="M15" s="131">
        <f t="shared" si="1"/>
        <v>278484.01</v>
      </c>
    </row>
    <row r="16" spans="1:13" x14ac:dyDescent="0.3">
      <c r="A16" s="128" t="s">
        <v>27</v>
      </c>
      <c r="B16" s="128">
        <v>14</v>
      </c>
      <c r="C16" s="128">
        <v>18</v>
      </c>
      <c r="D16" s="128" t="s">
        <v>183</v>
      </c>
      <c r="E16" s="128" t="s">
        <v>167</v>
      </c>
      <c r="F16" s="128" t="s">
        <v>182</v>
      </c>
      <c r="G16" s="128" t="s">
        <v>169</v>
      </c>
      <c r="H16" s="129">
        <v>8162.07</v>
      </c>
      <c r="I16" s="129">
        <v>8953.34</v>
      </c>
      <c r="J16" s="129">
        <v>9590.75</v>
      </c>
      <c r="K16" s="129">
        <v>7794.73</v>
      </c>
      <c r="L16" s="130">
        <f t="shared" si="0"/>
        <v>8625.2199999999993</v>
      </c>
      <c r="M16" s="131">
        <f t="shared" si="1"/>
        <v>8625.2199999999993</v>
      </c>
    </row>
    <row r="17" spans="1:13" x14ac:dyDescent="0.3">
      <c r="A17" s="128" t="s">
        <v>28</v>
      </c>
      <c r="B17" s="128">
        <v>15</v>
      </c>
      <c r="C17" s="128">
        <v>18</v>
      </c>
      <c r="D17" s="128" t="s">
        <v>183</v>
      </c>
      <c r="E17" s="128" t="s">
        <v>167</v>
      </c>
      <c r="F17" s="128" t="s">
        <v>182</v>
      </c>
      <c r="G17" s="128" t="s">
        <v>169</v>
      </c>
      <c r="H17" s="129">
        <v>0</v>
      </c>
      <c r="I17" s="129">
        <v>0</v>
      </c>
      <c r="J17" s="129">
        <v>0</v>
      </c>
      <c r="K17" s="129">
        <v>0</v>
      </c>
      <c r="L17" s="130">
        <f t="shared" si="0"/>
        <v>0</v>
      </c>
      <c r="M17" s="131">
        <f t="shared" si="1"/>
        <v>0</v>
      </c>
    </row>
    <row r="18" spans="1:13" x14ac:dyDescent="0.3">
      <c r="A18" s="128" t="s">
        <v>29</v>
      </c>
      <c r="B18" s="128">
        <v>16</v>
      </c>
      <c r="C18" s="128">
        <v>18</v>
      </c>
      <c r="D18" s="128" t="s">
        <v>183</v>
      </c>
      <c r="E18" s="128" t="s">
        <v>167</v>
      </c>
      <c r="F18" s="128" t="s">
        <v>182</v>
      </c>
      <c r="G18" s="128" t="s">
        <v>169</v>
      </c>
      <c r="H18" s="129">
        <v>102518.61</v>
      </c>
      <c r="I18" s="129">
        <v>103357.23</v>
      </c>
      <c r="J18" s="129">
        <v>138071.75</v>
      </c>
      <c r="K18" s="129">
        <v>115554.42</v>
      </c>
      <c r="L18" s="130">
        <f t="shared" si="0"/>
        <v>114875.5</v>
      </c>
      <c r="M18" s="131">
        <f t="shared" si="1"/>
        <v>114875.5</v>
      </c>
    </row>
    <row r="19" spans="1:13" x14ac:dyDescent="0.3">
      <c r="A19" s="128" t="s">
        <v>30</v>
      </c>
      <c r="B19" s="128">
        <v>17</v>
      </c>
      <c r="C19" s="128">
        <v>18</v>
      </c>
      <c r="D19" s="128" t="s">
        <v>183</v>
      </c>
      <c r="E19" s="128" t="s">
        <v>167</v>
      </c>
      <c r="F19" s="128" t="s">
        <v>182</v>
      </c>
      <c r="G19" s="128" t="s">
        <v>169</v>
      </c>
      <c r="H19" s="129">
        <v>73775.12</v>
      </c>
      <c r="I19" s="129">
        <v>79073.66</v>
      </c>
      <c r="J19" s="129">
        <v>70475.64</v>
      </c>
      <c r="K19" s="129">
        <v>70915.67</v>
      </c>
      <c r="L19" s="130">
        <f t="shared" si="0"/>
        <v>73560.02</v>
      </c>
      <c r="M19" s="131">
        <f t="shared" si="1"/>
        <v>73560.02</v>
      </c>
    </row>
    <row r="20" spans="1:13" x14ac:dyDescent="0.3">
      <c r="A20" s="128" t="s">
        <v>31</v>
      </c>
      <c r="B20" s="128">
        <v>18</v>
      </c>
      <c r="C20" s="128">
        <v>18</v>
      </c>
      <c r="D20" s="128" t="s">
        <v>183</v>
      </c>
      <c r="E20" s="128" t="s">
        <v>167</v>
      </c>
      <c r="F20" s="128" t="s">
        <v>182</v>
      </c>
      <c r="G20" s="128" t="s">
        <v>169</v>
      </c>
      <c r="H20" s="129">
        <v>16810.169999999998</v>
      </c>
      <c r="I20" s="129">
        <v>13835.39</v>
      </c>
      <c r="J20" s="129">
        <v>13603.84</v>
      </c>
      <c r="K20" s="129">
        <v>17017.78</v>
      </c>
      <c r="L20" s="130">
        <f t="shared" si="0"/>
        <v>15316.8</v>
      </c>
      <c r="M20" s="131">
        <f t="shared" si="1"/>
        <v>15316.8</v>
      </c>
    </row>
    <row r="21" spans="1:13" x14ac:dyDescent="0.3">
      <c r="A21" s="128" t="s">
        <v>32</v>
      </c>
      <c r="B21" s="128">
        <v>19</v>
      </c>
      <c r="C21" s="128">
        <v>18</v>
      </c>
      <c r="D21" s="128" t="s">
        <v>183</v>
      </c>
      <c r="E21" s="128" t="s">
        <v>167</v>
      </c>
      <c r="F21" s="128" t="s">
        <v>182</v>
      </c>
      <c r="G21" s="128" t="s">
        <v>169</v>
      </c>
      <c r="H21" s="129">
        <v>2925.47</v>
      </c>
      <c r="I21" s="129">
        <v>3068.49</v>
      </c>
      <c r="J21" s="129">
        <v>2958.41</v>
      </c>
      <c r="K21" s="129">
        <v>3718.95</v>
      </c>
      <c r="L21" s="130">
        <f t="shared" si="0"/>
        <v>3167.83</v>
      </c>
      <c r="M21" s="131">
        <f t="shared" si="1"/>
        <v>3167.83</v>
      </c>
    </row>
    <row r="22" spans="1:13" x14ac:dyDescent="0.3">
      <c r="A22" s="128" t="s">
        <v>33</v>
      </c>
      <c r="B22" s="128">
        <v>20</v>
      </c>
      <c r="C22" s="128">
        <v>18</v>
      </c>
      <c r="D22" s="128" t="s">
        <v>183</v>
      </c>
      <c r="E22" s="128" t="s">
        <v>167</v>
      </c>
      <c r="F22" s="128" t="s">
        <v>182</v>
      </c>
      <c r="G22" s="128" t="s">
        <v>169</v>
      </c>
      <c r="H22" s="129">
        <v>19586.91</v>
      </c>
      <c r="I22" s="129">
        <v>11934.94</v>
      </c>
      <c r="J22" s="129">
        <v>12641.94</v>
      </c>
      <c r="K22" s="129">
        <v>14225.39</v>
      </c>
      <c r="L22" s="130">
        <f t="shared" si="0"/>
        <v>14597.3</v>
      </c>
      <c r="M22" s="131">
        <f t="shared" si="1"/>
        <v>14597.3</v>
      </c>
    </row>
    <row r="23" spans="1:13" x14ac:dyDescent="0.3">
      <c r="A23" s="128" t="s">
        <v>34</v>
      </c>
      <c r="B23" s="128">
        <v>21</v>
      </c>
      <c r="C23" s="128">
        <v>18</v>
      </c>
      <c r="D23" s="128" t="s">
        <v>183</v>
      </c>
      <c r="E23" s="128" t="s">
        <v>167</v>
      </c>
      <c r="F23" s="128" t="s">
        <v>182</v>
      </c>
      <c r="G23" s="128" t="s">
        <v>169</v>
      </c>
      <c r="H23" s="129">
        <v>1440.86</v>
      </c>
      <c r="I23" s="129">
        <v>978.55</v>
      </c>
      <c r="J23" s="129">
        <v>3107.58</v>
      </c>
      <c r="K23" s="129">
        <v>2837.05</v>
      </c>
      <c r="L23" s="130">
        <f t="shared" si="0"/>
        <v>2091.0100000000002</v>
      </c>
      <c r="M23" s="131">
        <f t="shared" si="1"/>
        <v>2091.0100000000002</v>
      </c>
    </row>
    <row r="24" spans="1:13" x14ac:dyDescent="0.3">
      <c r="A24" s="128" t="s">
        <v>35</v>
      </c>
      <c r="B24" s="128">
        <v>22</v>
      </c>
      <c r="C24" s="128">
        <v>18</v>
      </c>
      <c r="D24" s="128" t="s">
        <v>183</v>
      </c>
      <c r="E24" s="128" t="s">
        <v>167</v>
      </c>
      <c r="F24" s="128" t="s">
        <v>182</v>
      </c>
      <c r="G24" s="128" t="s">
        <v>169</v>
      </c>
      <c r="H24" s="129">
        <v>4742.6099999999997</v>
      </c>
      <c r="I24" s="129">
        <v>4692.04</v>
      </c>
      <c r="J24" s="129">
        <v>5063.66</v>
      </c>
      <c r="K24" s="129">
        <v>5999.81</v>
      </c>
      <c r="L24" s="130">
        <f t="shared" si="0"/>
        <v>5124.53</v>
      </c>
      <c r="M24" s="131">
        <f t="shared" si="1"/>
        <v>5124.53</v>
      </c>
    </row>
    <row r="25" spans="1:13" x14ac:dyDescent="0.3">
      <c r="A25" s="128" t="s">
        <v>36</v>
      </c>
      <c r="B25" s="128">
        <v>23</v>
      </c>
      <c r="C25" s="128">
        <v>18</v>
      </c>
      <c r="D25" s="128" t="s">
        <v>183</v>
      </c>
      <c r="E25" s="128" t="s">
        <v>167</v>
      </c>
      <c r="F25" s="128" t="s">
        <v>182</v>
      </c>
      <c r="G25" s="128" t="s">
        <v>169</v>
      </c>
      <c r="H25" s="129">
        <v>5654.02</v>
      </c>
      <c r="I25" s="129">
        <v>5544.9</v>
      </c>
      <c r="J25" s="129">
        <v>4842.8500000000004</v>
      </c>
      <c r="K25" s="129">
        <v>4985.63</v>
      </c>
      <c r="L25" s="130">
        <f t="shared" si="0"/>
        <v>5256.85</v>
      </c>
      <c r="M25" s="131">
        <f t="shared" si="1"/>
        <v>5256.85</v>
      </c>
    </row>
    <row r="26" spans="1:13" x14ac:dyDescent="0.3">
      <c r="A26" s="128" t="s">
        <v>37</v>
      </c>
      <c r="B26" s="128">
        <v>24</v>
      </c>
      <c r="C26" s="128">
        <v>18</v>
      </c>
      <c r="D26" s="128" t="s">
        <v>183</v>
      </c>
      <c r="E26" s="128" t="s">
        <v>167</v>
      </c>
      <c r="F26" s="128" t="s">
        <v>182</v>
      </c>
      <c r="G26" s="128" t="s">
        <v>169</v>
      </c>
      <c r="H26" s="129">
        <v>5578.32</v>
      </c>
      <c r="I26" s="129">
        <v>4184.1400000000003</v>
      </c>
      <c r="J26" s="129">
        <v>6341.59</v>
      </c>
      <c r="K26" s="129">
        <v>3258.86</v>
      </c>
      <c r="L26" s="130">
        <f t="shared" si="0"/>
        <v>4840.7299999999996</v>
      </c>
      <c r="M26" s="131">
        <f t="shared" si="1"/>
        <v>4840.7299999999996</v>
      </c>
    </row>
    <row r="27" spans="1:13" x14ac:dyDescent="0.3">
      <c r="A27" s="128" t="s">
        <v>38</v>
      </c>
      <c r="B27" s="128">
        <v>25</v>
      </c>
      <c r="C27" s="128">
        <v>18</v>
      </c>
      <c r="D27" s="128" t="s">
        <v>183</v>
      </c>
      <c r="E27" s="128" t="s">
        <v>167</v>
      </c>
      <c r="F27" s="128" t="s">
        <v>182</v>
      </c>
      <c r="G27" s="128" t="s">
        <v>169</v>
      </c>
      <c r="H27" s="129">
        <v>7385.07</v>
      </c>
      <c r="I27" s="129">
        <v>6030.04</v>
      </c>
      <c r="J27" s="129">
        <v>11077.66</v>
      </c>
      <c r="K27" s="129">
        <v>10123.33</v>
      </c>
      <c r="L27" s="130">
        <f t="shared" si="0"/>
        <v>8654.0300000000007</v>
      </c>
      <c r="M27" s="131">
        <f t="shared" si="1"/>
        <v>8654.0300000000007</v>
      </c>
    </row>
    <row r="28" spans="1:13" x14ac:dyDescent="0.3">
      <c r="A28" s="128" t="s">
        <v>39</v>
      </c>
      <c r="B28" s="128">
        <v>26</v>
      </c>
      <c r="C28" s="128">
        <v>18</v>
      </c>
      <c r="D28" s="128" t="s">
        <v>183</v>
      </c>
      <c r="E28" s="128" t="s">
        <v>167</v>
      </c>
      <c r="F28" s="128" t="s">
        <v>182</v>
      </c>
      <c r="G28" s="128" t="s">
        <v>169</v>
      </c>
      <c r="H28" s="129">
        <v>16319.01</v>
      </c>
      <c r="I28" s="129">
        <v>14932.32</v>
      </c>
      <c r="J28" s="129">
        <v>15180.75</v>
      </c>
      <c r="K28" s="129">
        <v>17594.919999999998</v>
      </c>
      <c r="L28" s="130">
        <f t="shared" si="0"/>
        <v>16006.75</v>
      </c>
      <c r="M28" s="131">
        <f t="shared" si="1"/>
        <v>16006.75</v>
      </c>
    </row>
    <row r="29" spans="1:13" x14ac:dyDescent="0.3">
      <c r="A29" s="128" t="s">
        <v>40</v>
      </c>
      <c r="B29" s="128">
        <v>27</v>
      </c>
      <c r="C29" s="128">
        <v>18</v>
      </c>
      <c r="D29" s="128" t="s">
        <v>183</v>
      </c>
      <c r="E29" s="128" t="s">
        <v>167</v>
      </c>
      <c r="F29" s="128" t="s">
        <v>182</v>
      </c>
      <c r="G29" s="128" t="s">
        <v>169</v>
      </c>
      <c r="H29" s="129">
        <v>37677.97</v>
      </c>
      <c r="I29" s="129">
        <v>34666.43</v>
      </c>
      <c r="J29" s="129">
        <v>36543.040000000001</v>
      </c>
      <c r="K29" s="129">
        <v>38175.599999999999</v>
      </c>
      <c r="L29" s="130">
        <f t="shared" si="0"/>
        <v>36765.760000000002</v>
      </c>
      <c r="M29" s="131">
        <f t="shared" si="1"/>
        <v>36765.760000000002</v>
      </c>
    </row>
    <row r="30" spans="1:13" x14ac:dyDescent="0.3">
      <c r="A30" s="128" t="s">
        <v>41</v>
      </c>
      <c r="B30" s="128">
        <v>28</v>
      </c>
      <c r="C30" s="128">
        <v>18</v>
      </c>
      <c r="D30" s="128" t="s">
        <v>183</v>
      </c>
      <c r="E30" s="128" t="s">
        <v>167</v>
      </c>
      <c r="F30" s="128" t="s">
        <v>182</v>
      </c>
      <c r="G30" s="128" t="s">
        <v>169</v>
      </c>
      <c r="H30" s="129">
        <v>26467.95</v>
      </c>
      <c r="I30" s="129">
        <v>14970.08</v>
      </c>
      <c r="J30" s="129">
        <v>19918.72</v>
      </c>
      <c r="K30" s="129">
        <v>18202.189999999999</v>
      </c>
      <c r="L30" s="130">
        <f t="shared" si="0"/>
        <v>19889.740000000002</v>
      </c>
      <c r="M30" s="131">
        <f t="shared" si="1"/>
        <v>19889.740000000002</v>
      </c>
    </row>
    <row r="31" spans="1:13" x14ac:dyDescent="0.3">
      <c r="A31" s="128" t="s">
        <v>42</v>
      </c>
      <c r="B31" s="128">
        <v>29</v>
      </c>
      <c r="C31" s="128">
        <v>18</v>
      </c>
      <c r="D31" s="128" t="s">
        <v>183</v>
      </c>
      <c r="E31" s="128" t="s">
        <v>167</v>
      </c>
      <c r="F31" s="128" t="s">
        <v>182</v>
      </c>
      <c r="G31" s="128" t="s">
        <v>169</v>
      </c>
      <c r="H31" s="129">
        <v>132086.13</v>
      </c>
      <c r="I31" s="129">
        <v>111650.19</v>
      </c>
      <c r="J31" s="129">
        <v>110296.71</v>
      </c>
      <c r="K31" s="129">
        <v>123841</v>
      </c>
      <c r="L31" s="130">
        <f t="shared" si="0"/>
        <v>119468.51</v>
      </c>
      <c r="M31" s="131">
        <f t="shared" si="1"/>
        <v>119468.51</v>
      </c>
    </row>
    <row r="32" spans="1:13" x14ac:dyDescent="0.3">
      <c r="A32" s="128" t="s">
        <v>43</v>
      </c>
      <c r="B32" s="128">
        <v>30</v>
      </c>
      <c r="C32" s="128">
        <v>18</v>
      </c>
      <c r="D32" s="128" t="s">
        <v>183</v>
      </c>
      <c r="E32" s="128" t="s">
        <v>167</v>
      </c>
      <c r="F32" s="128" t="s">
        <v>182</v>
      </c>
      <c r="G32" s="128" t="s">
        <v>169</v>
      </c>
      <c r="H32" s="129">
        <v>5494.63</v>
      </c>
      <c r="I32" s="129">
        <v>3399.73</v>
      </c>
      <c r="J32" s="129">
        <v>3772.16</v>
      </c>
      <c r="K32" s="129">
        <v>3864.7</v>
      </c>
      <c r="L32" s="130">
        <f t="shared" si="0"/>
        <v>4132.8100000000004</v>
      </c>
      <c r="M32" s="131">
        <f t="shared" si="1"/>
        <v>4132.8100000000004</v>
      </c>
    </row>
    <row r="33" spans="1:13" x14ac:dyDescent="0.3">
      <c r="A33" s="128" t="s">
        <v>44</v>
      </c>
      <c r="B33" s="128">
        <v>31</v>
      </c>
      <c r="C33" s="128">
        <v>18</v>
      </c>
      <c r="D33" s="128" t="s">
        <v>183</v>
      </c>
      <c r="E33" s="128" t="s">
        <v>167</v>
      </c>
      <c r="F33" s="128" t="s">
        <v>182</v>
      </c>
      <c r="G33" s="128" t="s">
        <v>169</v>
      </c>
      <c r="H33" s="129">
        <v>62131.06</v>
      </c>
      <c r="I33" s="129">
        <v>33051.19</v>
      </c>
      <c r="J33" s="129">
        <v>31914.33</v>
      </c>
      <c r="K33" s="129">
        <v>50796.86</v>
      </c>
      <c r="L33" s="130">
        <f t="shared" si="0"/>
        <v>44473.36</v>
      </c>
      <c r="M33" s="131">
        <f t="shared" si="1"/>
        <v>44473.36</v>
      </c>
    </row>
    <row r="34" spans="1:13" x14ac:dyDescent="0.3">
      <c r="A34" s="128" t="s">
        <v>45</v>
      </c>
      <c r="B34" s="128">
        <v>32</v>
      </c>
      <c r="C34" s="128">
        <v>18</v>
      </c>
      <c r="D34" s="128" t="s">
        <v>183</v>
      </c>
      <c r="E34" s="128" t="s">
        <v>167</v>
      </c>
      <c r="F34" s="128" t="s">
        <v>182</v>
      </c>
      <c r="G34" s="128" t="s">
        <v>169</v>
      </c>
      <c r="H34" s="129">
        <v>6983.75</v>
      </c>
      <c r="I34" s="129">
        <v>7149.25</v>
      </c>
      <c r="J34" s="129">
        <v>9715.7900000000009</v>
      </c>
      <c r="K34" s="129">
        <v>8970.89</v>
      </c>
      <c r="L34" s="130">
        <f t="shared" si="0"/>
        <v>8204.92</v>
      </c>
      <c r="M34" s="131">
        <f t="shared" si="1"/>
        <v>8204.92</v>
      </c>
    </row>
    <row r="35" spans="1:13" x14ac:dyDescent="0.3">
      <c r="A35" s="128" t="s">
        <v>46</v>
      </c>
      <c r="B35" s="128">
        <v>33</v>
      </c>
      <c r="C35" s="128">
        <v>18</v>
      </c>
      <c r="D35" s="128" t="s">
        <v>183</v>
      </c>
      <c r="E35" s="128" t="s">
        <v>167</v>
      </c>
      <c r="F35" s="128" t="s">
        <v>182</v>
      </c>
      <c r="G35" s="128" t="s">
        <v>169</v>
      </c>
      <c r="H35" s="129">
        <v>7514.02</v>
      </c>
      <c r="I35" s="129">
        <v>6808.78</v>
      </c>
      <c r="J35" s="129">
        <v>16460.98</v>
      </c>
      <c r="K35" s="129">
        <v>17373.21</v>
      </c>
      <c r="L35" s="130">
        <f t="shared" si="0"/>
        <v>12039.25</v>
      </c>
      <c r="M35" s="131">
        <f t="shared" si="1"/>
        <v>12039.25</v>
      </c>
    </row>
    <row r="36" spans="1:13" x14ac:dyDescent="0.3">
      <c r="A36" s="128" t="s">
        <v>47</v>
      </c>
      <c r="B36" s="128">
        <v>34</v>
      </c>
      <c r="C36" s="128">
        <v>18</v>
      </c>
      <c r="D36" s="128" t="s">
        <v>183</v>
      </c>
      <c r="E36" s="128" t="s">
        <v>167</v>
      </c>
      <c r="F36" s="128" t="s">
        <v>182</v>
      </c>
      <c r="G36" s="128" t="s">
        <v>169</v>
      </c>
      <c r="H36" s="129">
        <v>1797.3</v>
      </c>
      <c r="I36" s="129">
        <v>1503.27</v>
      </c>
      <c r="J36" s="129">
        <v>2652.38</v>
      </c>
      <c r="K36" s="129">
        <v>0</v>
      </c>
      <c r="L36" s="130">
        <f t="shared" si="0"/>
        <v>1488.24</v>
      </c>
      <c r="M36" s="131">
        <f t="shared" si="1"/>
        <v>1488.24</v>
      </c>
    </row>
    <row r="37" spans="1:13" x14ac:dyDescent="0.3">
      <c r="A37" s="128" t="s">
        <v>48</v>
      </c>
      <c r="B37" s="128">
        <v>35</v>
      </c>
      <c r="C37" s="128">
        <v>18</v>
      </c>
      <c r="D37" s="128" t="s">
        <v>183</v>
      </c>
      <c r="E37" s="128" t="s">
        <v>167</v>
      </c>
      <c r="F37" s="128" t="s">
        <v>182</v>
      </c>
      <c r="G37" s="128" t="s">
        <v>169</v>
      </c>
      <c r="H37" s="129">
        <v>51564.23</v>
      </c>
      <c r="I37" s="129">
        <v>47256.639999999999</v>
      </c>
      <c r="J37" s="129">
        <v>60713.17</v>
      </c>
      <c r="K37" s="129">
        <v>56409.86</v>
      </c>
      <c r="L37" s="130">
        <f t="shared" si="0"/>
        <v>53985.98</v>
      </c>
      <c r="M37" s="131">
        <f t="shared" si="1"/>
        <v>53985.98</v>
      </c>
    </row>
    <row r="38" spans="1:13" x14ac:dyDescent="0.3">
      <c r="A38" s="128" t="s">
        <v>49</v>
      </c>
      <c r="B38" s="128">
        <v>36</v>
      </c>
      <c r="C38" s="128">
        <v>18</v>
      </c>
      <c r="D38" s="128" t="s">
        <v>183</v>
      </c>
      <c r="E38" s="128" t="s">
        <v>167</v>
      </c>
      <c r="F38" s="128" t="s">
        <v>182</v>
      </c>
      <c r="G38" s="128" t="s">
        <v>169</v>
      </c>
      <c r="H38" s="129">
        <v>64391.18</v>
      </c>
      <c r="I38" s="129">
        <v>54941.4</v>
      </c>
      <c r="J38" s="129">
        <v>63622.46</v>
      </c>
      <c r="K38" s="129">
        <v>79216.7</v>
      </c>
      <c r="L38" s="130">
        <f t="shared" si="0"/>
        <v>65542.94</v>
      </c>
      <c r="M38" s="131">
        <f t="shared" si="1"/>
        <v>65542.94</v>
      </c>
    </row>
    <row r="39" spans="1:13" x14ac:dyDescent="0.3">
      <c r="A39" s="128" t="s">
        <v>50</v>
      </c>
      <c r="B39" s="128">
        <v>37</v>
      </c>
      <c r="C39" s="128">
        <v>18</v>
      </c>
      <c r="D39" s="128" t="s">
        <v>183</v>
      </c>
      <c r="E39" s="128" t="s">
        <v>167</v>
      </c>
      <c r="F39" s="128" t="s">
        <v>182</v>
      </c>
      <c r="G39" s="128" t="s">
        <v>169</v>
      </c>
      <c r="H39" s="129">
        <v>63582.89</v>
      </c>
      <c r="I39" s="129">
        <v>53769.64</v>
      </c>
      <c r="J39" s="129">
        <v>87636.12</v>
      </c>
      <c r="K39" s="129">
        <v>67049.36</v>
      </c>
      <c r="L39" s="130">
        <f t="shared" si="0"/>
        <v>68009.5</v>
      </c>
      <c r="M39" s="131">
        <f t="shared" si="1"/>
        <v>68009.5</v>
      </c>
    </row>
    <row r="40" spans="1:13" x14ac:dyDescent="0.3">
      <c r="A40" s="128" t="s">
        <v>51</v>
      </c>
      <c r="B40" s="128">
        <v>38</v>
      </c>
      <c r="C40" s="128">
        <v>18</v>
      </c>
      <c r="D40" s="128" t="s">
        <v>183</v>
      </c>
      <c r="E40" s="128" t="s">
        <v>167</v>
      </c>
      <c r="F40" s="128" t="s">
        <v>182</v>
      </c>
      <c r="G40" s="128" t="s">
        <v>169</v>
      </c>
      <c r="H40" s="129">
        <v>17401.8</v>
      </c>
      <c r="I40" s="129">
        <v>14993.33</v>
      </c>
      <c r="J40" s="129">
        <v>13375.01</v>
      </c>
      <c r="K40" s="129">
        <v>16779.669999999998</v>
      </c>
      <c r="L40" s="130">
        <f t="shared" si="0"/>
        <v>15637.45</v>
      </c>
      <c r="M40" s="131">
        <f t="shared" si="1"/>
        <v>15637.45</v>
      </c>
    </row>
    <row r="41" spans="1:13" x14ac:dyDescent="0.3">
      <c r="A41" s="128" t="s">
        <v>52</v>
      </c>
      <c r="B41" s="128">
        <v>39</v>
      </c>
      <c r="C41" s="128">
        <v>18</v>
      </c>
      <c r="D41" s="128" t="s">
        <v>183</v>
      </c>
      <c r="E41" s="128" t="s">
        <v>167</v>
      </c>
      <c r="F41" s="128" t="s">
        <v>182</v>
      </c>
      <c r="G41" s="128" t="s">
        <v>169</v>
      </c>
      <c r="H41" s="129">
        <v>3065.37</v>
      </c>
      <c r="I41" s="129">
        <v>2112.98</v>
      </c>
      <c r="J41" s="129">
        <v>4320.1499999999996</v>
      </c>
      <c r="K41" s="129">
        <v>2681.74</v>
      </c>
      <c r="L41" s="130">
        <f t="shared" si="0"/>
        <v>3045.06</v>
      </c>
      <c r="M41" s="131">
        <f t="shared" si="1"/>
        <v>3045.06</v>
      </c>
    </row>
    <row r="42" spans="1:13" x14ac:dyDescent="0.3">
      <c r="A42" s="128" t="s">
        <v>53</v>
      </c>
      <c r="B42" s="128">
        <v>40</v>
      </c>
      <c r="C42" s="128">
        <v>18</v>
      </c>
      <c r="D42" s="128" t="s">
        <v>183</v>
      </c>
      <c r="E42" s="128" t="s">
        <v>167</v>
      </c>
      <c r="F42" s="128" t="s">
        <v>182</v>
      </c>
      <c r="G42" s="128" t="s">
        <v>169</v>
      </c>
      <c r="H42" s="129">
        <v>2051.6</v>
      </c>
      <c r="I42" s="129">
        <v>2413.75</v>
      </c>
      <c r="J42" s="129">
        <v>3877.54</v>
      </c>
      <c r="K42" s="129">
        <v>2924.38</v>
      </c>
      <c r="L42" s="130">
        <f t="shared" si="0"/>
        <v>2816.82</v>
      </c>
      <c r="M42" s="131">
        <f t="shared" si="1"/>
        <v>2816.82</v>
      </c>
    </row>
    <row r="43" spans="1:13" x14ac:dyDescent="0.3">
      <c r="A43" s="128" t="s">
        <v>54</v>
      </c>
      <c r="B43" s="128">
        <v>41</v>
      </c>
      <c r="C43" s="128">
        <v>18</v>
      </c>
      <c r="D43" s="128" t="s">
        <v>183</v>
      </c>
      <c r="E43" s="128" t="s">
        <v>167</v>
      </c>
      <c r="F43" s="128" t="s">
        <v>182</v>
      </c>
      <c r="G43" s="128" t="s">
        <v>169</v>
      </c>
      <c r="H43" s="129">
        <v>36531.15</v>
      </c>
      <c r="I43" s="129">
        <v>41821.69</v>
      </c>
      <c r="J43" s="129">
        <v>31797.81</v>
      </c>
      <c r="K43" s="129">
        <v>36444.089999999997</v>
      </c>
      <c r="L43" s="130">
        <f t="shared" si="0"/>
        <v>36648.69</v>
      </c>
      <c r="M43" s="131">
        <f t="shared" si="1"/>
        <v>36648.69</v>
      </c>
    </row>
    <row r="44" spans="1:13" x14ac:dyDescent="0.3">
      <c r="A44" s="128" t="s">
        <v>55</v>
      </c>
      <c r="B44" s="128">
        <v>42</v>
      </c>
      <c r="C44" s="128">
        <v>18</v>
      </c>
      <c r="D44" s="128" t="s">
        <v>183</v>
      </c>
      <c r="E44" s="128" t="s">
        <v>167</v>
      </c>
      <c r="F44" s="128" t="s">
        <v>182</v>
      </c>
      <c r="G44" s="128" t="s">
        <v>169</v>
      </c>
      <c r="H44" s="129">
        <v>51978.11</v>
      </c>
      <c r="I44" s="129">
        <v>61082.25</v>
      </c>
      <c r="J44" s="129">
        <v>47646.65</v>
      </c>
      <c r="K44" s="129">
        <v>55121.45</v>
      </c>
      <c r="L44" s="130">
        <f t="shared" si="0"/>
        <v>53957.120000000003</v>
      </c>
      <c r="M44" s="131">
        <f t="shared" si="1"/>
        <v>53957.120000000003</v>
      </c>
    </row>
    <row r="45" spans="1:13" x14ac:dyDescent="0.3">
      <c r="A45" s="128" t="s">
        <v>56</v>
      </c>
      <c r="B45" s="128">
        <v>43</v>
      </c>
      <c r="C45" s="128">
        <v>18</v>
      </c>
      <c r="D45" s="128" t="s">
        <v>183</v>
      </c>
      <c r="E45" s="128" t="s">
        <v>167</v>
      </c>
      <c r="F45" s="128" t="s">
        <v>182</v>
      </c>
      <c r="G45" s="128" t="s">
        <v>169</v>
      </c>
      <c r="H45" s="129">
        <v>30448.05</v>
      </c>
      <c r="I45" s="129">
        <v>35328.019999999997</v>
      </c>
      <c r="J45" s="129">
        <v>38440.589999999997</v>
      </c>
      <c r="K45" s="129">
        <v>51664.66</v>
      </c>
      <c r="L45" s="130">
        <f t="shared" si="0"/>
        <v>38970.33</v>
      </c>
      <c r="M45" s="131">
        <f t="shared" si="1"/>
        <v>38970.33</v>
      </c>
    </row>
    <row r="46" spans="1:13" x14ac:dyDescent="0.3">
      <c r="A46" s="128" t="s">
        <v>57</v>
      </c>
      <c r="B46" s="128">
        <v>44</v>
      </c>
      <c r="C46" s="128">
        <v>18</v>
      </c>
      <c r="D46" s="128" t="s">
        <v>183</v>
      </c>
      <c r="E46" s="128" t="s">
        <v>167</v>
      </c>
      <c r="F46" s="128" t="s">
        <v>182</v>
      </c>
      <c r="G46" s="128" t="s">
        <v>169</v>
      </c>
      <c r="H46" s="129">
        <v>38551.64</v>
      </c>
      <c r="I46" s="129">
        <v>35436.480000000003</v>
      </c>
      <c r="J46" s="129">
        <v>52366.83</v>
      </c>
      <c r="K46" s="129">
        <v>34533.99</v>
      </c>
      <c r="L46" s="130">
        <f t="shared" si="0"/>
        <v>40222.239999999998</v>
      </c>
      <c r="M46" s="131">
        <f t="shared" si="1"/>
        <v>40222.239999999998</v>
      </c>
    </row>
    <row r="47" spans="1:13" x14ac:dyDescent="0.3">
      <c r="A47" s="128" t="s">
        <v>58</v>
      </c>
      <c r="B47" s="128">
        <v>45</v>
      </c>
      <c r="C47" s="128">
        <v>18</v>
      </c>
      <c r="D47" s="128" t="s">
        <v>183</v>
      </c>
      <c r="E47" s="128" t="s">
        <v>167</v>
      </c>
      <c r="F47" s="128" t="s">
        <v>182</v>
      </c>
      <c r="G47" s="128" t="s">
        <v>169</v>
      </c>
      <c r="H47" s="129">
        <v>15049.26</v>
      </c>
      <c r="I47" s="129">
        <v>15563.82</v>
      </c>
      <c r="J47" s="129">
        <v>17958.87</v>
      </c>
      <c r="K47" s="129">
        <v>16848.080000000002</v>
      </c>
      <c r="L47" s="130">
        <f t="shared" si="0"/>
        <v>16355.01</v>
      </c>
      <c r="M47" s="131">
        <f t="shared" si="1"/>
        <v>16355.01</v>
      </c>
    </row>
    <row r="48" spans="1:13" x14ac:dyDescent="0.3">
      <c r="A48" s="128" t="s">
        <v>59</v>
      </c>
      <c r="B48" s="128">
        <v>46</v>
      </c>
      <c r="C48" s="128">
        <v>18</v>
      </c>
      <c r="D48" s="128" t="s">
        <v>183</v>
      </c>
      <c r="E48" s="128" t="s">
        <v>167</v>
      </c>
      <c r="F48" s="128" t="s">
        <v>182</v>
      </c>
      <c r="G48" s="128" t="s">
        <v>169</v>
      </c>
      <c r="H48" s="129">
        <v>24270.12</v>
      </c>
      <c r="I48" s="129">
        <v>18202.61</v>
      </c>
      <c r="J48" s="129">
        <v>25219.99</v>
      </c>
      <c r="K48" s="129">
        <v>19726.21</v>
      </c>
      <c r="L48" s="130">
        <f t="shared" si="0"/>
        <v>21854.73</v>
      </c>
      <c r="M48" s="131">
        <f t="shared" si="1"/>
        <v>21854.73</v>
      </c>
    </row>
    <row r="49" spans="1:13" x14ac:dyDescent="0.3">
      <c r="A49" s="128" t="s">
        <v>60</v>
      </c>
      <c r="B49" s="128">
        <v>47</v>
      </c>
      <c r="C49" s="128">
        <v>18</v>
      </c>
      <c r="D49" s="128" t="s">
        <v>183</v>
      </c>
      <c r="E49" s="128" t="s">
        <v>167</v>
      </c>
      <c r="F49" s="128" t="s">
        <v>182</v>
      </c>
      <c r="G49" s="128" t="s">
        <v>169</v>
      </c>
      <c r="H49" s="129">
        <v>21908.39</v>
      </c>
      <c r="I49" s="129">
        <v>17577.77</v>
      </c>
      <c r="J49" s="129">
        <v>17141.09</v>
      </c>
      <c r="K49" s="129">
        <v>29010.69</v>
      </c>
      <c r="L49" s="130">
        <f t="shared" si="0"/>
        <v>21409.49</v>
      </c>
      <c r="M49" s="131">
        <f t="shared" si="1"/>
        <v>21409.49</v>
      </c>
    </row>
    <row r="50" spans="1:13" x14ac:dyDescent="0.3">
      <c r="A50" s="128" t="s">
        <v>61</v>
      </c>
      <c r="B50" s="128">
        <v>48</v>
      </c>
      <c r="C50" s="128">
        <v>18</v>
      </c>
      <c r="D50" s="128" t="s">
        <v>183</v>
      </c>
      <c r="E50" s="128" t="s">
        <v>167</v>
      </c>
      <c r="F50" s="128" t="s">
        <v>182</v>
      </c>
      <c r="G50" s="128" t="s">
        <v>169</v>
      </c>
      <c r="H50" s="129">
        <v>172462.96</v>
      </c>
      <c r="I50" s="129">
        <v>173880</v>
      </c>
      <c r="J50" s="129">
        <v>196080.16</v>
      </c>
      <c r="K50" s="129">
        <v>188859.14</v>
      </c>
      <c r="L50" s="130">
        <f t="shared" si="0"/>
        <v>182820.57</v>
      </c>
      <c r="M50" s="131">
        <f t="shared" si="1"/>
        <v>182820.57</v>
      </c>
    </row>
    <row r="51" spans="1:13" x14ac:dyDescent="0.3">
      <c r="A51" s="128" t="s">
        <v>62</v>
      </c>
      <c r="B51" s="128">
        <v>49</v>
      </c>
      <c r="C51" s="128">
        <v>18</v>
      </c>
      <c r="D51" s="128" t="s">
        <v>183</v>
      </c>
      <c r="E51" s="128" t="s">
        <v>167</v>
      </c>
      <c r="F51" s="128" t="s">
        <v>182</v>
      </c>
      <c r="G51" s="128" t="s">
        <v>169</v>
      </c>
      <c r="H51" s="129">
        <v>60052.75</v>
      </c>
      <c r="I51" s="129">
        <v>62825.440000000002</v>
      </c>
      <c r="J51" s="129">
        <v>66475.5</v>
      </c>
      <c r="K51" s="129">
        <v>73102.45</v>
      </c>
      <c r="L51" s="130">
        <f t="shared" si="0"/>
        <v>65614.039999999994</v>
      </c>
      <c r="M51" s="131">
        <f t="shared" si="1"/>
        <v>65614.039999999994</v>
      </c>
    </row>
    <row r="52" spans="1:13" x14ac:dyDescent="0.3">
      <c r="A52" s="128" t="s">
        <v>63</v>
      </c>
      <c r="B52" s="128">
        <v>50</v>
      </c>
      <c r="C52" s="128">
        <v>18</v>
      </c>
      <c r="D52" s="128" t="s">
        <v>183</v>
      </c>
      <c r="E52" s="128" t="s">
        <v>167</v>
      </c>
      <c r="F52" s="128" t="s">
        <v>182</v>
      </c>
      <c r="G52" s="128" t="s">
        <v>169</v>
      </c>
      <c r="H52" s="129">
        <v>208712.82</v>
      </c>
      <c r="I52" s="129">
        <v>187153.92000000001</v>
      </c>
      <c r="J52" s="129">
        <v>219399.6</v>
      </c>
      <c r="K52" s="129">
        <v>206001.83</v>
      </c>
      <c r="L52" s="130">
        <f t="shared" si="0"/>
        <v>205317.04</v>
      </c>
      <c r="M52" s="131">
        <f t="shared" si="1"/>
        <v>205317.04</v>
      </c>
    </row>
    <row r="53" spans="1:13" x14ac:dyDescent="0.3">
      <c r="A53" s="128" t="s">
        <v>64</v>
      </c>
      <c r="B53" s="128">
        <v>51</v>
      </c>
      <c r="C53" s="128">
        <v>18</v>
      </c>
      <c r="D53" s="128" t="s">
        <v>183</v>
      </c>
      <c r="E53" s="128" t="s">
        <v>167</v>
      </c>
      <c r="F53" s="128" t="s">
        <v>182</v>
      </c>
      <c r="G53" s="128" t="s">
        <v>169</v>
      </c>
      <c r="H53" s="129">
        <v>42283.39</v>
      </c>
      <c r="I53" s="129">
        <v>55701.49</v>
      </c>
      <c r="J53" s="129">
        <v>42241.81</v>
      </c>
      <c r="K53" s="129">
        <v>73942.929999999993</v>
      </c>
      <c r="L53" s="130">
        <f t="shared" si="0"/>
        <v>53542.41</v>
      </c>
      <c r="M53" s="131">
        <f t="shared" si="1"/>
        <v>53542.41</v>
      </c>
    </row>
    <row r="54" spans="1:13" x14ac:dyDescent="0.3">
      <c r="A54" s="128" t="s">
        <v>11</v>
      </c>
      <c r="B54" s="128">
        <v>52</v>
      </c>
      <c r="C54" s="128">
        <v>18</v>
      </c>
      <c r="D54" s="128" t="s">
        <v>183</v>
      </c>
      <c r="E54" s="128" t="s">
        <v>167</v>
      </c>
      <c r="F54" s="128" t="s">
        <v>182</v>
      </c>
      <c r="G54" s="128" t="s">
        <v>169</v>
      </c>
      <c r="H54" s="129">
        <v>154816.79</v>
      </c>
      <c r="I54" s="129">
        <v>150730.87</v>
      </c>
      <c r="J54" s="129">
        <v>168713.69</v>
      </c>
      <c r="K54" s="129">
        <v>152573.47</v>
      </c>
      <c r="L54" s="130">
        <f t="shared" si="0"/>
        <v>156708.71</v>
      </c>
      <c r="M54" s="131">
        <f t="shared" si="1"/>
        <v>156708.71</v>
      </c>
    </row>
    <row r="55" spans="1:13" x14ac:dyDescent="0.3">
      <c r="A55" s="128" t="s">
        <v>65</v>
      </c>
      <c r="B55" s="128">
        <v>53</v>
      </c>
      <c r="C55" s="128">
        <v>18</v>
      </c>
      <c r="D55" s="128" t="s">
        <v>183</v>
      </c>
      <c r="E55" s="128" t="s">
        <v>167</v>
      </c>
      <c r="F55" s="128" t="s">
        <v>182</v>
      </c>
      <c r="G55" s="128" t="s">
        <v>169</v>
      </c>
      <c r="H55" s="129">
        <v>71183.070000000007</v>
      </c>
      <c r="I55" s="129">
        <v>78283.91</v>
      </c>
      <c r="J55" s="129">
        <v>93301.24</v>
      </c>
      <c r="K55" s="129">
        <v>81484.41</v>
      </c>
      <c r="L55" s="130">
        <f t="shared" si="0"/>
        <v>81063.16</v>
      </c>
      <c r="M55" s="131">
        <f t="shared" si="1"/>
        <v>81063.16</v>
      </c>
    </row>
    <row r="56" spans="1:13" x14ac:dyDescent="0.3">
      <c r="A56" s="128" t="s">
        <v>66</v>
      </c>
      <c r="B56" s="128">
        <v>54</v>
      </c>
      <c r="C56" s="128">
        <v>18</v>
      </c>
      <c r="D56" s="128" t="s">
        <v>183</v>
      </c>
      <c r="E56" s="128" t="s">
        <v>167</v>
      </c>
      <c r="F56" s="128" t="s">
        <v>182</v>
      </c>
      <c r="G56" s="128" t="s">
        <v>169</v>
      </c>
      <c r="H56" s="129">
        <v>26891.439999999999</v>
      </c>
      <c r="I56" s="129">
        <v>26378.89</v>
      </c>
      <c r="J56" s="129">
        <v>26068.560000000001</v>
      </c>
      <c r="K56" s="129">
        <v>24037.54</v>
      </c>
      <c r="L56" s="130">
        <f t="shared" si="0"/>
        <v>25844.11</v>
      </c>
      <c r="M56" s="131">
        <f t="shared" si="1"/>
        <v>25844.11</v>
      </c>
    </row>
    <row r="57" spans="1:13" x14ac:dyDescent="0.3">
      <c r="A57" s="128" t="s">
        <v>67</v>
      </c>
      <c r="B57" s="128">
        <v>55</v>
      </c>
      <c r="C57" s="128">
        <v>18</v>
      </c>
      <c r="D57" s="128" t="s">
        <v>183</v>
      </c>
      <c r="E57" s="128" t="s">
        <v>167</v>
      </c>
      <c r="F57" s="128" t="s">
        <v>182</v>
      </c>
      <c r="G57" s="128" t="s">
        <v>169</v>
      </c>
      <c r="H57" s="129">
        <v>58880.97</v>
      </c>
      <c r="I57" s="129">
        <v>53064.41</v>
      </c>
      <c r="J57" s="129">
        <v>47565.81</v>
      </c>
      <c r="K57" s="129">
        <v>41072.639999999999</v>
      </c>
      <c r="L57" s="130">
        <f t="shared" si="0"/>
        <v>50145.96</v>
      </c>
      <c r="M57" s="131">
        <f t="shared" si="1"/>
        <v>50145.96</v>
      </c>
    </row>
    <row r="58" spans="1:13" x14ac:dyDescent="0.3">
      <c r="A58" s="128" t="s">
        <v>68</v>
      </c>
      <c r="B58" s="128">
        <v>56</v>
      </c>
      <c r="C58" s="128">
        <v>18</v>
      </c>
      <c r="D58" s="128" t="s">
        <v>183</v>
      </c>
      <c r="E58" s="128" t="s">
        <v>167</v>
      </c>
      <c r="F58" s="128" t="s">
        <v>182</v>
      </c>
      <c r="G58" s="128" t="s">
        <v>169</v>
      </c>
      <c r="H58" s="129">
        <v>100070.23</v>
      </c>
      <c r="I58" s="129">
        <v>78849.45</v>
      </c>
      <c r="J58" s="129">
        <v>83936.57</v>
      </c>
      <c r="K58" s="129">
        <v>94828.160000000003</v>
      </c>
      <c r="L58" s="130">
        <f t="shared" si="0"/>
        <v>89421.1</v>
      </c>
      <c r="M58" s="131">
        <f t="shared" si="1"/>
        <v>89421.1</v>
      </c>
    </row>
    <row r="59" spans="1:13" x14ac:dyDescent="0.3">
      <c r="A59" s="128" t="s">
        <v>69</v>
      </c>
      <c r="B59" s="128">
        <v>57</v>
      </c>
      <c r="C59" s="128">
        <v>18</v>
      </c>
      <c r="D59" s="128" t="s">
        <v>183</v>
      </c>
      <c r="E59" s="128" t="s">
        <v>167</v>
      </c>
      <c r="F59" s="128" t="s">
        <v>182</v>
      </c>
      <c r="G59" s="128" t="s">
        <v>169</v>
      </c>
      <c r="H59" s="129">
        <v>43754.31</v>
      </c>
      <c r="I59" s="129">
        <v>53146.6</v>
      </c>
      <c r="J59" s="129">
        <v>64403.99</v>
      </c>
      <c r="K59" s="129">
        <v>56370.47</v>
      </c>
      <c r="L59" s="130">
        <f t="shared" si="0"/>
        <v>54418.84</v>
      </c>
      <c r="M59" s="131">
        <f t="shared" si="1"/>
        <v>54418.84</v>
      </c>
    </row>
    <row r="60" spans="1:13" x14ac:dyDescent="0.3">
      <c r="A60" s="128" t="s">
        <v>110</v>
      </c>
      <c r="B60" s="128">
        <v>58</v>
      </c>
      <c r="C60" s="128">
        <v>18</v>
      </c>
      <c r="D60" s="128" t="s">
        <v>183</v>
      </c>
      <c r="E60" s="128" t="s">
        <v>167</v>
      </c>
      <c r="F60" s="128" t="s">
        <v>182</v>
      </c>
      <c r="G60" s="128" t="s">
        <v>169</v>
      </c>
      <c r="H60" s="129">
        <v>27805.85</v>
      </c>
      <c r="I60" s="129">
        <v>26647.66</v>
      </c>
      <c r="J60" s="129">
        <v>16941.66</v>
      </c>
      <c r="K60" s="129">
        <v>19136.68</v>
      </c>
      <c r="L60" s="130">
        <f t="shared" si="0"/>
        <v>22632.959999999999</v>
      </c>
      <c r="M60" s="131">
        <f t="shared" si="1"/>
        <v>22632.959999999999</v>
      </c>
    </row>
    <row r="61" spans="1:13" x14ac:dyDescent="0.3">
      <c r="A61" s="128" t="s">
        <v>112</v>
      </c>
      <c r="B61" s="128">
        <v>59</v>
      </c>
      <c r="C61" s="128">
        <v>18</v>
      </c>
      <c r="D61" s="128" t="s">
        <v>183</v>
      </c>
      <c r="E61" s="128" t="s">
        <v>167</v>
      </c>
      <c r="F61" s="128" t="s">
        <v>182</v>
      </c>
      <c r="G61" s="128" t="s">
        <v>169</v>
      </c>
      <c r="H61" s="129">
        <v>59889.22</v>
      </c>
      <c r="I61" s="129">
        <v>57679.81</v>
      </c>
      <c r="J61" s="129">
        <v>64114.52</v>
      </c>
      <c r="K61" s="129">
        <v>95671.81</v>
      </c>
      <c r="L61" s="130">
        <f t="shared" si="0"/>
        <v>69338.84</v>
      </c>
      <c r="M61" s="131">
        <f t="shared" si="1"/>
        <v>69338.84</v>
      </c>
    </row>
    <row r="62" spans="1:13" x14ac:dyDescent="0.3">
      <c r="A62" s="128" t="s">
        <v>71</v>
      </c>
      <c r="B62" s="128">
        <v>60</v>
      </c>
      <c r="C62" s="128">
        <v>18</v>
      </c>
      <c r="D62" s="128" t="s">
        <v>183</v>
      </c>
      <c r="E62" s="128" t="s">
        <v>167</v>
      </c>
      <c r="F62" s="128" t="s">
        <v>182</v>
      </c>
      <c r="G62" s="128" t="s">
        <v>169</v>
      </c>
      <c r="H62" s="129">
        <v>15818.62</v>
      </c>
      <c r="I62" s="129">
        <v>16125</v>
      </c>
      <c r="J62" s="129">
        <v>16125</v>
      </c>
      <c r="K62" s="129">
        <v>20000.439999999999</v>
      </c>
      <c r="L62" s="130">
        <f t="shared" si="0"/>
        <v>17017.27</v>
      </c>
      <c r="M62" s="131">
        <f t="shared" si="1"/>
        <v>17017.27</v>
      </c>
    </row>
    <row r="63" spans="1:13" x14ac:dyDescent="0.3">
      <c r="A63" s="128" t="s">
        <v>72</v>
      </c>
      <c r="B63" s="128">
        <v>61</v>
      </c>
      <c r="C63" s="128">
        <v>18</v>
      </c>
      <c r="D63" s="128" t="s">
        <v>183</v>
      </c>
      <c r="E63" s="128" t="s">
        <v>167</v>
      </c>
      <c r="F63" s="128" t="s">
        <v>182</v>
      </c>
      <c r="G63" s="128" t="s">
        <v>169</v>
      </c>
      <c r="H63" s="129">
        <v>5681.82</v>
      </c>
      <c r="I63" s="129">
        <v>7566.59</v>
      </c>
      <c r="J63" s="129">
        <v>5066.18</v>
      </c>
      <c r="K63" s="129">
        <v>7895.79</v>
      </c>
      <c r="L63" s="130">
        <f t="shared" si="0"/>
        <v>6552.6</v>
      </c>
      <c r="M63" s="131">
        <f t="shared" si="1"/>
        <v>6552.6</v>
      </c>
    </row>
    <row r="64" spans="1:13" x14ac:dyDescent="0.3">
      <c r="A64" s="128" t="s">
        <v>73</v>
      </c>
      <c r="B64" s="128">
        <v>62</v>
      </c>
      <c r="C64" s="128">
        <v>18</v>
      </c>
      <c r="D64" s="128" t="s">
        <v>183</v>
      </c>
      <c r="E64" s="128" t="s">
        <v>167</v>
      </c>
      <c r="F64" s="128" t="s">
        <v>182</v>
      </c>
      <c r="G64" s="128" t="s">
        <v>169</v>
      </c>
      <c r="H64" s="129">
        <v>2882.36</v>
      </c>
      <c r="I64" s="129">
        <v>2026.71</v>
      </c>
      <c r="J64" s="129">
        <v>3419.86</v>
      </c>
      <c r="K64" s="129">
        <v>2286.69</v>
      </c>
      <c r="L64" s="130">
        <f t="shared" si="0"/>
        <v>2653.91</v>
      </c>
      <c r="M64" s="131">
        <f t="shared" si="1"/>
        <v>2653.91</v>
      </c>
    </row>
    <row r="65" spans="1:13" x14ac:dyDescent="0.3">
      <c r="A65" s="128" t="s">
        <v>74</v>
      </c>
      <c r="B65" s="128">
        <v>63</v>
      </c>
      <c r="C65" s="128">
        <v>18</v>
      </c>
      <c r="D65" s="128" t="s">
        <v>183</v>
      </c>
      <c r="E65" s="128" t="s">
        <v>167</v>
      </c>
      <c r="F65" s="128" t="s">
        <v>182</v>
      </c>
      <c r="G65" s="128" t="s">
        <v>169</v>
      </c>
      <c r="H65" s="129">
        <v>0</v>
      </c>
      <c r="I65" s="129">
        <v>0</v>
      </c>
      <c r="J65" s="129">
        <v>1731</v>
      </c>
      <c r="K65" s="129">
        <v>4865.2</v>
      </c>
      <c r="L65" s="130">
        <f t="shared" si="0"/>
        <v>1649.05</v>
      </c>
      <c r="M65" s="131">
        <f t="shared" si="1"/>
        <v>1649.05</v>
      </c>
    </row>
    <row r="66" spans="1:13" x14ac:dyDescent="0.3">
      <c r="A66" s="128" t="s">
        <v>75</v>
      </c>
      <c r="B66" s="128">
        <v>64</v>
      </c>
      <c r="C66" s="128">
        <v>18</v>
      </c>
      <c r="D66" s="128" t="s">
        <v>183</v>
      </c>
      <c r="E66" s="128" t="s">
        <v>167</v>
      </c>
      <c r="F66" s="128" t="s">
        <v>182</v>
      </c>
      <c r="G66" s="128" t="s">
        <v>169</v>
      </c>
      <c r="H66" s="129">
        <v>61745.14</v>
      </c>
      <c r="I66" s="129">
        <v>62665.89</v>
      </c>
      <c r="J66" s="129">
        <v>77405.13</v>
      </c>
      <c r="K66" s="129">
        <v>74453.81</v>
      </c>
      <c r="L66" s="130">
        <f t="shared" si="0"/>
        <v>69067.490000000005</v>
      </c>
      <c r="M66" s="131">
        <f t="shared" si="1"/>
        <v>69067.490000000005</v>
      </c>
    </row>
    <row r="67" spans="1:13" x14ac:dyDescent="0.3">
      <c r="A67" s="128" t="s">
        <v>76</v>
      </c>
      <c r="B67" s="128">
        <v>65</v>
      </c>
      <c r="C67" s="128">
        <v>18</v>
      </c>
      <c r="D67" s="128" t="s">
        <v>183</v>
      </c>
      <c r="E67" s="128" t="s">
        <v>167</v>
      </c>
      <c r="F67" s="128" t="s">
        <v>182</v>
      </c>
      <c r="G67" s="128" t="s">
        <v>169</v>
      </c>
      <c r="H67" s="129">
        <v>7746.48</v>
      </c>
      <c r="I67" s="129">
        <v>7992.43</v>
      </c>
      <c r="J67" s="129">
        <v>9569.23</v>
      </c>
      <c r="K67" s="129">
        <v>8860.3700000000008</v>
      </c>
      <c r="L67" s="130">
        <f t="shared" si="0"/>
        <v>8542.1299999999992</v>
      </c>
      <c r="M67" s="131">
        <f t="shared" si="1"/>
        <v>8542.1299999999992</v>
      </c>
    </row>
    <row r="68" spans="1:13" x14ac:dyDescent="0.3">
      <c r="A68" s="128" t="s">
        <v>77</v>
      </c>
      <c r="B68" s="128">
        <v>66</v>
      </c>
      <c r="C68" s="128">
        <v>18</v>
      </c>
      <c r="D68" s="128" t="s">
        <v>183</v>
      </c>
      <c r="E68" s="128" t="s">
        <v>167</v>
      </c>
      <c r="F68" s="128" t="s">
        <v>182</v>
      </c>
      <c r="G68" s="128" t="s">
        <v>169</v>
      </c>
      <c r="H68" s="129">
        <v>16325.8</v>
      </c>
      <c r="I68" s="129">
        <v>10976.65</v>
      </c>
      <c r="J68" s="129">
        <v>16133.96</v>
      </c>
      <c r="K68" s="129">
        <v>13387.92</v>
      </c>
      <c r="L68" s="130">
        <f t="shared" ref="L68:L69" si="2">ROUND(AVERAGE(H68:K68),2)</f>
        <v>14206.08</v>
      </c>
      <c r="M68" s="131">
        <f t="shared" ref="M68:M69" si="3">IF(D$1="Average",L68,K68)</f>
        <v>14206.08</v>
      </c>
    </row>
    <row r="69" spans="1:13" x14ac:dyDescent="0.3">
      <c r="A69" s="128" t="s">
        <v>78</v>
      </c>
      <c r="B69" s="128">
        <v>67</v>
      </c>
      <c r="C69" s="128">
        <v>18</v>
      </c>
      <c r="D69" s="128" t="s">
        <v>183</v>
      </c>
      <c r="E69" s="128" t="s">
        <v>167</v>
      </c>
      <c r="F69" s="128" t="s">
        <v>182</v>
      </c>
      <c r="G69" s="128" t="s">
        <v>169</v>
      </c>
      <c r="H69" s="129">
        <v>17672.62</v>
      </c>
      <c r="I69" s="129">
        <v>7358.07</v>
      </c>
      <c r="J69" s="129">
        <v>9703.5300000000007</v>
      </c>
      <c r="K69" s="129">
        <v>7750.87</v>
      </c>
      <c r="L69" s="130">
        <f t="shared" si="2"/>
        <v>10621.27</v>
      </c>
      <c r="M69" s="131">
        <f t="shared" si="3"/>
        <v>10621.27</v>
      </c>
    </row>
  </sheetData>
  <sheetProtection sheet="1" objects="1" scenarios="1"/>
  <dataValidations count="1">
    <dataValidation type="list" allowBlank="1" showInputMessage="1" showErrorMessage="1" sqref="D1" xr:uid="{F1697E61-E213-438A-8B41-FC42DCCCA2EE}">
      <formula1>"Average,Last"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68"/>
  <sheetViews>
    <sheetView workbookViewId="0">
      <pane xSplit="8" ySplit="1" topLeftCell="M2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8.88671875" defaultRowHeight="12.75" x14ac:dyDescent="0.2"/>
  <cols>
    <col min="1" max="7" width="8.88671875" style="13"/>
    <col min="8" max="8" width="13" style="13" bestFit="1" customWidth="1"/>
    <col min="9" max="13" width="13" style="13" customWidth="1"/>
    <col min="14" max="14" width="8.88671875" style="13"/>
    <col min="15" max="15" width="13" style="13" bestFit="1" customWidth="1"/>
    <col min="16" max="16" width="11.44140625" style="13" customWidth="1"/>
    <col min="17" max="17" width="10.554687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7" ht="27" x14ac:dyDescent="0.25">
      <c r="A1" s="64" t="s">
        <v>104</v>
      </c>
      <c r="B1" s="64" t="s">
        <v>105</v>
      </c>
      <c r="C1" s="64" t="s">
        <v>106</v>
      </c>
      <c r="D1" s="64" t="s">
        <v>107</v>
      </c>
      <c r="E1" s="64" t="s">
        <v>108</v>
      </c>
      <c r="F1" s="19" t="s">
        <v>114</v>
      </c>
      <c r="G1" s="19" t="s">
        <v>115</v>
      </c>
      <c r="H1" s="19" t="s">
        <v>116</v>
      </c>
      <c r="I1" s="19" t="s">
        <v>220</v>
      </c>
      <c r="J1" s="19" t="s">
        <v>219</v>
      </c>
      <c r="K1" s="19" t="s">
        <v>226</v>
      </c>
      <c r="L1" s="19" t="s">
        <v>227</v>
      </c>
      <c r="M1" s="19" t="s">
        <v>231</v>
      </c>
      <c r="N1" s="19" t="s">
        <v>115</v>
      </c>
      <c r="O1" s="19" t="s">
        <v>195</v>
      </c>
      <c r="P1" s="19" t="s">
        <v>147</v>
      </c>
      <c r="Q1" s="19" t="s">
        <v>163</v>
      </c>
    </row>
    <row r="2" spans="1:17" ht="54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215</v>
      </c>
      <c r="I2" s="18" t="s">
        <v>222</v>
      </c>
      <c r="J2" s="83" t="str">
        <f>" SFY 18/19: Q1 "&amp;H2&amp;CHAR(10)&amp;" CFY 17/18: Q4 "&amp;H2</f>
        <v xml:space="preserve"> SFY 18/19: Q1 Jul - Aug - Sep
 CFY 17/18: Q4 Jul - Aug - Sep</v>
      </c>
      <c r="K2" s="18" t="s">
        <v>218</v>
      </c>
      <c r="L2" s="18" t="s">
        <v>203</v>
      </c>
      <c r="M2" s="18" t="s">
        <v>253</v>
      </c>
      <c r="N2" s="13" t="s">
        <v>148</v>
      </c>
      <c r="O2" s="18" t="s">
        <v>191</v>
      </c>
      <c r="P2" s="18" t="s">
        <v>159</v>
      </c>
      <c r="Q2" s="13" t="str">
        <f>RIGHT(P2,4)</f>
        <v>Qtr2</v>
      </c>
    </row>
    <row r="3" spans="1:17" ht="54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216</v>
      </c>
      <c r="I3" s="18" t="s">
        <v>223</v>
      </c>
      <c r="J3" s="83" t="str">
        <f>" SFY 18/19: Q2 "&amp;H3&amp;CHAR(10)&amp;" CFY 18/19: Q1 "&amp;H3</f>
        <v xml:space="preserve"> SFY 18/19: Q2 Oct - Nov - Dec
 CFY 18/19: Q1 Oct - Nov - Dec</v>
      </c>
      <c r="K3" s="18" t="s">
        <v>215</v>
      </c>
      <c r="L3" s="18" t="s">
        <v>228</v>
      </c>
      <c r="M3" s="18" t="s">
        <v>250</v>
      </c>
      <c r="N3" s="13" t="s">
        <v>149</v>
      </c>
      <c r="O3" s="18" t="s">
        <v>191</v>
      </c>
      <c r="P3" s="18" t="s">
        <v>159</v>
      </c>
      <c r="Q3" s="13" t="str">
        <f t="shared" ref="Q3:Q13" si="0">RIGHT(P3,4)</f>
        <v>Qtr2</v>
      </c>
    </row>
    <row r="4" spans="1:17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217</v>
      </c>
      <c r="I4" s="18" t="s">
        <v>224</v>
      </c>
      <c r="J4" s="83" t="str">
        <f>" SFY 18/19: Q3 "&amp;H4&amp;CHAR(10)&amp;" CFY 18/19: Q2 "&amp;H4</f>
        <v xml:space="preserve"> SFY 18/19: Q3 Jan - Feb - Mar
 CFY 18/19: Q2 Jan - Feb - Mar</v>
      </c>
      <c r="K4" s="18" t="s">
        <v>216</v>
      </c>
      <c r="L4" s="18" t="s">
        <v>229</v>
      </c>
      <c r="M4" s="18" t="s">
        <v>251</v>
      </c>
      <c r="N4" s="13" t="s">
        <v>150</v>
      </c>
      <c r="O4" s="18" t="s">
        <v>191</v>
      </c>
      <c r="P4" s="18" t="s">
        <v>159</v>
      </c>
      <c r="Q4" s="13" t="str">
        <f t="shared" si="0"/>
        <v>Qtr2</v>
      </c>
    </row>
    <row r="5" spans="1:17" ht="54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218</v>
      </c>
      <c r="I5" s="18" t="s">
        <v>225</v>
      </c>
      <c r="J5" s="83" t="str">
        <f>" SFY 18/19: Q3 "&amp;H5&amp;CHAR(10)&amp;" CFY 18/19: Q4 "&amp;H5</f>
        <v xml:space="preserve"> SFY 18/19: Q3 Apr - May - Jun
 CFY 18/19: Q4 Apr - May - Jun</v>
      </c>
      <c r="K5" s="18" t="s">
        <v>217</v>
      </c>
      <c r="L5" s="18" t="s">
        <v>230</v>
      </c>
      <c r="M5" s="18" t="s">
        <v>252</v>
      </c>
      <c r="N5" s="13" t="s">
        <v>151</v>
      </c>
      <c r="O5" s="18" t="s">
        <v>192</v>
      </c>
      <c r="P5" s="18" t="s">
        <v>160</v>
      </c>
      <c r="Q5" s="13" t="str">
        <f t="shared" si="0"/>
        <v>Qtr3</v>
      </c>
    </row>
    <row r="6" spans="1:17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192</v>
      </c>
      <c r="P6" s="18" t="s">
        <v>160</v>
      </c>
      <c r="Q6" s="13" t="str">
        <f t="shared" si="0"/>
        <v>Qtr3</v>
      </c>
    </row>
    <row r="7" spans="1:17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192</v>
      </c>
      <c r="P7" s="18" t="s">
        <v>160</v>
      </c>
      <c r="Q7" s="13" t="str">
        <f t="shared" si="0"/>
        <v>Qtr3</v>
      </c>
    </row>
    <row r="8" spans="1:17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61"/>
      <c r="I8" s="18"/>
      <c r="J8" s="18"/>
      <c r="K8" s="18"/>
      <c r="L8" s="18"/>
      <c r="M8" s="18"/>
      <c r="N8" s="13" t="s">
        <v>154</v>
      </c>
      <c r="O8" s="18" t="s">
        <v>193</v>
      </c>
      <c r="P8" s="18" t="s">
        <v>161</v>
      </c>
      <c r="Q8" s="13" t="str">
        <f t="shared" si="0"/>
        <v>Qtr4</v>
      </c>
    </row>
    <row r="9" spans="1:17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193</v>
      </c>
      <c r="P9" s="18" t="s">
        <v>161</v>
      </c>
      <c r="Q9" s="13" t="str">
        <f t="shared" si="0"/>
        <v>Qtr4</v>
      </c>
    </row>
    <row r="10" spans="1:17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193</v>
      </c>
      <c r="P10" s="18" t="s">
        <v>161</v>
      </c>
      <c r="Q10" s="13" t="str">
        <f t="shared" si="0"/>
        <v>Qtr4</v>
      </c>
    </row>
    <row r="11" spans="1:17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194</v>
      </c>
      <c r="P11" s="18" t="s">
        <v>162</v>
      </c>
      <c r="Q11" s="13" t="str">
        <f t="shared" si="0"/>
        <v>Qtr1</v>
      </c>
    </row>
    <row r="12" spans="1:17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194</v>
      </c>
      <c r="P12" s="18" t="s">
        <v>162</v>
      </c>
      <c r="Q12" s="13" t="str">
        <f t="shared" si="0"/>
        <v>Qtr1</v>
      </c>
    </row>
    <row r="13" spans="1:17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194</v>
      </c>
      <c r="P13" s="18" t="s">
        <v>162</v>
      </c>
      <c r="Q13" s="13" t="str">
        <f t="shared" si="0"/>
        <v>Qtr1</v>
      </c>
    </row>
    <row r="14" spans="1:17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7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2"/>
  <sheetViews>
    <sheetView topLeftCell="A16" workbookViewId="0">
      <selection activeCell="D25" sqref="D25"/>
    </sheetView>
  </sheetViews>
  <sheetFormatPr defaultColWidth="8.88671875" defaultRowHeight="13.5" x14ac:dyDescent="0.25"/>
  <cols>
    <col min="1" max="1" width="16.21875" style="36" customWidth="1"/>
    <col min="2" max="2" width="14.109375" style="36" customWidth="1"/>
    <col min="3" max="3" width="8.109375" style="36" customWidth="1"/>
    <col min="4" max="4" width="10.33203125" style="36" customWidth="1"/>
    <col min="5" max="6" width="8.88671875" style="36"/>
    <col min="7" max="7" width="9.44140625" style="36" bestFit="1" customWidth="1"/>
    <col min="8" max="16384" width="8.88671875" style="36"/>
  </cols>
  <sheetData>
    <row r="1" spans="1:12" x14ac:dyDescent="0.25">
      <c r="A1" s="35" t="s">
        <v>126</v>
      </c>
      <c r="B1" s="36" t="s">
        <v>146</v>
      </c>
      <c r="D1" s="35" t="s">
        <v>127</v>
      </c>
      <c r="E1" s="36" t="str">
        <f>IF(Estimate!D4="","None",Estimate!D4)</f>
        <v>None</v>
      </c>
      <c r="G1" s="37" t="s">
        <v>128</v>
      </c>
      <c r="H1" s="38" t="s">
        <v>129</v>
      </c>
      <c r="I1" s="38" t="s">
        <v>130</v>
      </c>
      <c r="J1" s="38" t="s">
        <v>131</v>
      </c>
      <c r="K1" s="38" t="s">
        <v>132</v>
      </c>
      <c r="L1" s="39" t="s">
        <v>133</v>
      </c>
    </row>
    <row r="2" spans="1:12" x14ac:dyDescent="0.25">
      <c r="A2" s="35" t="s">
        <v>134</v>
      </c>
      <c r="B2" s="36" t="s">
        <v>243</v>
      </c>
      <c r="G2" s="40">
        <v>1</v>
      </c>
      <c r="H2" s="41" t="s">
        <v>165</v>
      </c>
      <c r="I2" s="41" t="s">
        <v>135</v>
      </c>
      <c r="J2" s="41" t="s">
        <v>189</v>
      </c>
      <c r="K2" s="41">
        <v>20</v>
      </c>
      <c r="L2" s="42">
        <v>46</v>
      </c>
    </row>
    <row r="3" spans="1:12" x14ac:dyDescent="0.25">
      <c r="G3" s="40">
        <v>2</v>
      </c>
      <c r="H3" s="41"/>
      <c r="I3" s="41"/>
      <c r="J3" s="41"/>
      <c r="K3" s="41"/>
      <c r="L3" s="42"/>
    </row>
    <row r="4" spans="1:12" x14ac:dyDescent="0.25">
      <c r="G4" s="40">
        <v>3</v>
      </c>
      <c r="H4" s="41"/>
      <c r="I4" s="41"/>
      <c r="J4" s="41"/>
      <c r="K4" s="41"/>
      <c r="L4" s="42"/>
    </row>
    <row r="5" spans="1:12" x14ac:dyDescent="0.25">
      <c r="A5" s="43" t="s">
        <v>136</v>
      </c>
      <c r="B5" s="44">
        <v>43231</v>
      </c>
      <c r="G5" s="40">
        <v>4</v>
      </c>
      <c r="H5" s="41"/>
      <c r="I5" s="41"/>
      <c r="J5" s="41"/>
      <c r="K5" s="41"/>
      <c r="L5" s="42"/>
    </row>
    <row r="6" spans="1:12" x14ac:dyDescent="0.25">
      <c r="A6" s="43" t="s">
        <v>137</v>
      </c>
      <c r="B6" s="45"/>
      <c r="G6" s="40">
        <v>5</v>
      </c>
      <c r="L6" s="42"/>
    </row>
    <row r="7" spans="1:12" x14ac:dyDescent="0.25">
      <c r="A7" s="43" t="s">
        <v>138</v>
      </c>
      <c r="B7" s="36" t="str">
        <f>TEXT(B5,"MMM")</f>
        <v>May</v>
      </c>
      <c r="G7" s="40">
        <v>6</v>
      </c>
      <c r="H7" s="41"/>
      <c r="I7" s="41"/>
      <c r="J7" s="41"/>
      <c r="K7" s="41"/>
      <c r="L7" s="42"/>
    </row>
    <row r="8" spans="1:12" x14ac:dyDescent="0.25">
      <c r="A8" s="43" t="s">
        <v>139</v>
      </c>
      <c r="B8" s="36">
        <f>IF(Estimate!F5="",1,Estimate!F5)</f>
        <v>1</v>
      </c>
      <c r="G8" s="40">
        <v>7</v>
      </c>
      <c r="H8" s="41"/>
      <c r="I8" s="41"/>
      <c r="J8" s="41"/>
      <c r="K8" s="41"/>
      <c r="L8" s="42"/>
    </row>
    <row r="9" spans="1:12" x14ac:dyDescent="0.25">
      <c r="A9" s="43" t="s">
        <v>140</v>
      </c>
      <c r="B9" s="46" t="str">
        <f>IF(Estimate!F4="",INDEX(BasicLookupData!O2:O13,MATCH(TEXT(EDATE(B5,-1),"MMM"),BasicLookupData!N2:N13,0)),Estimate!F4)</f>
        <v>Oct - Nov - Dec</v>
      </c>
      <c r="G9" s="40">
        <v>8</v>
      </c>
      <c r="H9" s="41"/>
      <c r="I9" s="41"/>
      <c r="J9" s="41"/>
      <c r="K9" s="41"/>
      <c r="L9" s="42"/>
    </row>
    <row r="10" spans="1:12" x14ac:dyDescent="0.25">
      <c r="A10" s="43" t="s">
        <v>141</v>
      </c>
      <c r="G10" s="40">
        <v>9</v>
      </c>
      <c r="H10" s="41"/>
      <c r="I10" s="41"/>
      <c r="J10" s="41"/>
      <c r="K10" s="41"/>
      <c r="L10" s="42"/>
    </row>
    <row r="11" spans="1:12" x14ac:dyDescent="0.25">
      <c r="A11" s="43" t="s">
        <v>142</v>
      </c>
      <c r="G11" s="40">
        <v>10</v>
      </c>
      <c r="H11" s="41"/>
      <c r="I11" s="41"/>
      <c r="J11" s="41"/>
      <c r="K11" s="41"/>
      <c r="L11" s="42"/>
    </row>
    <row r="12" spans="1:12" ht="14.25" thickBot="1" x14ac:dyDescent="0.3">
      <c r="G12" s="47">
        <v>11</v>
      </c>
      <c r="H12" s="48"/>
      <c r="I12" s="48"/>
      <c r="J12" s="48"/>
      <c r="K12" s="48"/>
      <c r="L12" s="49"/>
    </row>
    <row r="13" spans="1:12" x14ac:dyDescent="0.25">
      <c r="A13" s="43" t="s">
        <v>143</v>
      </c>
      <c r="B13" s="36">
        <v>1</v>
      </c>
      <c r="G13" s="41"/>
      <c r="H13" s="41"/>
      <c r="I13" s="41"/>
      <c r="J13" s="41"/>
      <c r="K13" s="41"/>
      <c r="L13" s="41"/>
    </row>
    <row r="14" spans="1:12" x14ac:dyDescent="0.25">
      <c r="G14" s="41"/>
      <c r="H14" s="41"/>
      <c r="I14" s="41"/>
      <c r="J14" s="41"/>
      <c r="K14" s="41"/>
      <c r="L14" s="41"/>
    </row>
    <row r="20" spans="1:9" x14ac:dyDescent="0.25">
      <c r="A20" s="35" t="s">
        <v>104</v>
      </c>
      <c r="B20" s="35" t="s">
        <v>144</v>
      </c>
      <c r="C20" s="35" t="s">
        <v>164</v>
      </c>
      <c r="D20" s="35" t="s">
        <v>244</v>
      </c>
      <c r="E20" s="35" t="s">
        <v>245</v>
      </c>
      <c r="F20" s="35" t="s">
        <v>246</v>
      </c>
      <c r="G20" s="35" t="s">
        <v>187</v>
      </c>
      <c r="H20" s="35" t="s">
        <v>188</v>
      </c>
      <c r="I20" s="35" t="s">
        <v>145</v>
      </c>
    </row>
    <row r="21" spans="1:9" x14ac:dyDescent="0.25">
      <c r="A21" s="36">
        <f>IFERROR(INDEX(BasicLookupData!A2:A68,MATCH(E1,BasicLookupData!D2:D68,0)),0)</f>
        <v>0</v>
      </c>
      <c r="B21" s="36">
        <v>18</v>
      </c>
      <c r="C21" s="36" t="s">
        <v>166</v>
      </c>
      <c r="D21" s="36" t="s">
        <v>167</v>
      </c>
      <c r="E21" s="36" t="s">
        <v>168</v>
      </c>
      <c r="F21" s="36" t="s">
        <v>169</v>
      </c>
      <c r="G21" s="57">
        <f>Estimate!F9</f>
        <v>0</v>
      </c>
      <c r="H21" s="50"/>
      <c r="I21" s="50">
        <v>6</v>
      </c>
    </row>
    <row r="22" spans="1:9" x14ac:dyDescent="0.25">
      <c r="A22" s="36">
        <f>A21</f>
        <v>0</v>
      </c>
      <c r="B22" s="36">
        <f>B21</f>
        <v>18</v>
      </c>
      <c r="C22" s="36" t="s">
        <v>166</v>
      </c>
      <c r="D22" s="36" t="s">
        <v>167</v>
      </c>
      <c r="E22" s="36" t="s">
        <v>170</v>
      </c>
      <c r="F22" s="36" t="s">
        <v>1</v>
      </c>
      <c r="G22" s="56">
        <f>Estimate!F14</f>
        <v>0</v>
      </c>
      <c r="I22" s="50">
        <v>6</v>
      </c>
    </row>
    <row r="23" spans="1:9" x14ac:dyDescent="0.25">
      <c r="A23" s="36">
        <f t="shared" ref="A23:A44" si="0">A22</f>
        <v>0</v>
      </c>
      <c r="B23" s="36">
        <f t="shared" ref="B23:B44" si="1">B22</f>
        <v>18</v>
      </c>
      <c r="C23" s="36" t="s">
        <v>166</v>
      </c>
      <c r="D23" s="36" t="s">
        <v>167</v>
      </c>
      <c r="E23" s="36" t="s">
        <v>170</v>
      </c>
      <c r="F23" s="36" t="s">
        <v>12</v>
      </c>
      <c r="G23" s="56">
        <f>Estimate!F15</f>
        <v>0</v>
      </c>
      <c r="I23" s="50">
        <v>6</v>
      </c>
    </row>
    <row r="24" spans="1:9" x14ac:dyDescent="0.25">
      <c r="A24" s="36">
        <f t="shared" si="0"/>
        <v>0</v>
      </c>
      <c r="B24" s="36">
        <f t="shared" si="1"/>
        <v>18</v>
      </c>
      <c r="C24" s="36" t="s">
        <v>166</v>
      </c>
      <c r="D24" s="36" t="s">
        <v>167</v>
      </c>
      <c r="E24" s="36" t="s">
        <v>170</v>
      </c>
      <c r="F24" s="36" t="s">
        <v>13</v>
      </c>
      <c r="G24" s="56">
        <f>Estimate!F16</f>
        <v>0</v>
      </c>
      <c r="I24" s="50">
        <v>6</v>
      </c>
    </row>
    <row r="25" spans="1:9" x14ac:dyDescent="0.25">
      <c r="A25" s="36">
        <f t="shared" si="0"/>
        <v>0</v>
      </c>
      <c r="B25" s="36">
        <f t="shared" si="1"/>
        <v>18</v>
      </c>
      <c r="C25" s="36" t="s">
        <v>166</v>
      </c>
      <c r="D25" s="36" t="s">
        <v>167</v>
      </c>
      <c r="E25" s="36" t="s">
        <v>170</v>
      </c>
      <c r="F25" s="36" t="s">
        <v>171</v>
      </c>
      <c r="G25" s="56">
        <f>Estimate!F18</f>
        <v>0</v>
      </c>
      <c r="H25" s="36" t="str">
        <f>IF(ISBLANK(Estimate!D19),"",Estimate!D19)</f>
        <v/>
      </c>
      <c r="I25" s="50">
        <v>6</v>
      </c>
    </row>
    <row r="26" spans="1:9" x14ac:dyDescent="0.25">
      <c r="A26" s="36">
        <f t="shared" si="0"/>
        <v>0</v>
      </c>
      <c r="B26" s="36">
        <f t="shared" si="1"/>
        <v>18</v>
      </c>
      <c r="C26" s="36" t="s">
        <v>166</v>
      </c>
      <c r="D26" s="36" t="s">
        <v>167</v>
      </c>
      <c r="E26" s="36" t="s">
        <v>2</v>
      </c>
      <c r="F26" s="36" t="s">
        <v>172</v>
      </c>
      <c r="G26" s="56">
        <f>Estimate!F24</f>
        <v>0</v>
      </c>
      <c r="I26" s="50">
        <v>6</v>
      </c>
    </row>
    <row r="27" spans="1:9" x14ac:dyDescent="0.25">
      <c r="A27" s="36">
        <f t="shared" si="0"/>
        <v>0</v>
      </c>
      <c r="B27" s="36">
        <f t="shared" si="1"/>
        <v>18</v>
      </c>
      <c r="C27" s="36" t="s">
        <v>166</v>
      </c>
      <c r="D27" s="36" t="s">
        <v>167</v>
      </c>
      <c r="E27" s="36" t="s">
        <v>2</v>
      </c>
      <c r="F27" s="36" t="s">
        <v>173</v>
      </c>
      <c r="G27" s="56">
        <f>Estimate!F25</f>
        <v>0</v>
      </c>
      <c r="I27" s="50">
        <v>6</v>
      </c>
    </row>
    <row r="28" spans="1:9" x14ac:dyDescent="0.25">
      <c r="A28" s="36">
        <f t="shared" si="0"/>
        <v>0</v>
      </c>
      <c r="B28" s="36">
        <f t="shared" si="1"/>
        <v>18</v>
      </c>
      <c r="C28" s="36" t="s">
        <v>166</v>
      </c>
      <c r="D28" s="36" t="s">
        <v>167</v>
      </c>
      <c r="E28" s="36" t="s">
        <v>2</v>
      </c>
      <c r="F28" s="36" t="s">
        <v>174</v>
      </c>
      <c r="G28" s="56">
        <f>Estimate!F26</f>
        <v>0</v>
      </c>
      <c r="I28" s="50">
        <v>6</v>
      </c>
    </row>
    <row r="29" spans="1:9" x14ac:dyDescent="0.25">
      <c r="A29" s="36">
        <f t="shared" si="0"/>
        <v>0</v>
      </c>
      <c r="B29" s="36">
        <f t="shared" si="1"/>
        <v>18</v>
      </c>
      <c r="C29" s="36" t="s">
        <v>166</v>
      </c>
      <c r="D29" s="36" t="s">
        <v>167</v>
      </c>
      <c r="E29" s="36" t="s">
        <v>2</v>
      </c>
      <c r="F29" s="36" t="s">
        <v>175</v>
      </c>
      <c r="G29" s="56">
        <f>Estimate!F31</f>
        <v>0</v>
      </c>
      <c r="I29" s="50">
        <v>6</v>
      </c>
    </row>
    <row r="30" spans="1:9" x14ac:dyDescent="0.25">
      <c r="A30" s="36">
        <f t="shared" si="0"/>
        <v>0</v>
      </c>
      <c r="B30" s="36">
        <f t="shared" si="1"/>
        <v>18</v>
      </c>
      <c r="C30" s="36" t="s">
        <v>166</v>
      </c>
      <c r="D30" s="36" t="s">
        <v>167</v>
      </c>
      <c r="E30" s="36" t="s">
        <v>2</v>
      </c>
      <c r="F30" s="36" t="s">
        <v>176</v>
      </c>
      <c r="G30" s="56">
        <f>Estimate!F32</f>
        <v>0</v>
      </c>
      <c r="I30" s="50">
        <v>6</v>
      </c>
    </row>
    <row r="31" spans="1:9" x14ac:dyDescent="0.25">
      <c r="A31" s="36">
        <f t="shared" si="0"/>
        <v>0</v>
      </c>
      <c r="B31" s="36">
        <f t="shared" si="1"/>
        <v>18</v>
      </c>
      <c r="C31" s="36" t="s">
        <v>166</v>
      </c>
      <c r="D31" s="36" t="s">
        <v>167</v>
      </c>
      <c r="E31" s="36" t="s">
        <v>2</v>
      </c>
      <c r="F31" s="36" t="s">
        <v>177</v>
      </c>
      <c r="G31" s="56">
        <f>Estimate!F33</f>
        <v>0</v>
      </c>
      <c r="I31" s="50">
        <v>6</v>
      </c>
    </row>
    <row r="32" spans="1:9" x14ac:dyDescent="0.25">
      <c r="A32" s="36">
        <f t="shared" si="0"/>
        <v>0</v>
      </c>
      <c r="B32" s="36">
        <f t="shared" si="1"/>
        <v>18</v>
      </c>
      <c r="C32" s="36" t="s">
        <v>166</v>
      </c>
      <c r="D32" s="36" t="s">
        <v>167</v>
      </c>
      <c r="E32" s="36" t="s">
        <v>2</v>
      </c>
      <c r="F32" s="36" t="s">
        <v>178</v>
      </c>
      <c r="G32" s="56">
        <f>Estimate!F37</f>
        <v>0</v>
      </c>
      <c r="I32" s="50">
        <v>6</v>
      </c>
    </row>
    <row r="33" spans="1:9" x14ac:dyDescent="0.25">
      <c r="A33" s="36">
        <f t="shared" si="0"/>
        <v>0</v>
      </c>
      <c r="B33" s="36">
        <f t="shared" si="1"/>
        <v>18</v>
      </c>
      <c r="C33" s="36" t="s">
        <v>166</v>
      </c>
      <c r="D33" s="36" t="s">
        <v>167</v>
      </c>
      <c r="E33" s="36" t="s">
        <v>2</v>
      </c>
      <c r="F33" s="36" t="s">
        <v>179</v>
      </c>
      <c r="G33" s="56">
        <f>Estimate!F38</f>
        <v>0</v>
      </c>
      <c r="I33" s="50">
        <v>6</v>
      </c>
    </row>
    <row r="34" spans="1:9" x14ac:dyDescent="0.25">
      <c r="A34" s="36">
        <f t="shared" si="0"/>
        <v>0</v>
      </c>
      <c r="B34" s="36">
        <f t="shared" si="1"/>
        <v>18</v>
      </c>
      <c r="C34" s="36" t="s">
        <v>166</v>
      </c>
      <c r="D34" s="36" t="s">
        <v>167</v>
      </c>
      <c r="E34" s="36" t="s">
        <v>2</v>
      </c>
      <c r="F34" s="36" t="s">
        <v>180</v>
      </c>
      <c r="G34" s="56">
        <f>Estimate!F39</f>
        <v>0</v>
      </c>
      <c r="I34" s="50">
        <v>6</v>
      </c>
    </row>
    <row r="35" spans="1:9" x14ac:dyDescent="0.25">
      <c r="A35" s="36">
        <f t="shared" si="0"/>
        <v>0</v>
      </c>
      <c r="B35" s="36">
        <f t="shared" si="1"/>
        <v>18</v>
      </c>
      <c r="C35" s="36" t="s">
        <v>166</v>
      </c>
      <c r="D35" s="36" t="s">
        <v>167</v>
      </c>
      <c r="E35" s="36" t="s">
        <v>2</v>
      </c>
      <c r="F35" s="36" t="s">
        <v>181</v>
      </c>
      <c r="G35" s="56">
        <f>Estimate!F40</f>
        <v>0</v>
      </c>
      <c r="I35" s="50">
        <v>6</v>
      </c>
    </row>
    <row r="36" spans="1:9" x14ac:dyDescent="0.25">
      <c r="A36" s="36">
        <f t="shared" si="0"/>
        <v>0</v>
      </c>
      <c r="B36" s="36">
        <f t="shared" si="1"/>
        <v>18</v>
      </c>
      <c r="C36" s="36" t="s">
        <v>166</v>
      </c>
      <c r="D36" s="36" t="s">
        <v>167</v>
      </c>
      <c r="E36" s="36" t="s">
        <v>2</v>
      </c>
      <c r="F36" s="36" t="s">
        <v>10</v>
      </c>
      <c r="G36" s="56">
        <f>Estimate!F44</f>
        <v>0</v>
      </c>
      <c r="I36" s="50">
        <v>6</v>
      </c>
    </row>
    <row r="37" spans="1:9" x14ac:dyDescent="0.25">
      <c r="A37" s="36">
        <f t="shared" si="0"/>
        <v>0</v>
      </c>
      <c r="B37" s="36">
        <f t="shared" si="1"/>
        <v>18</v>
      </c>
      <c r="C37" s="36" t="s">
        <v>166</v>
      </c>
      <c r="D37" s="36" t="s">
        <v>167</v>
      </c>
      <c r="E37" s="36" t="s">
        <v>182</v>
      </c>
      <c r="F37" s="36" t="s">
        <v>169</v>
      </c>
      <c r="G37" s="56">
        <f>Estimate!F48</f>
        <v>0</v>
      </c>
      <c r="I37" s="50">
        <v>6</v>
      </c>
    </row>
    <row r="38" spans="1:9" x14ac:dyDescent="0.25">
      <c r="A38" s="36">
        <f t="shared" si="0"/>
        <v>0</v>
      </c>
      <c r="B38" s="36">
        <f t="shared" si="1"/>
        <v>18</v>
      </c>
      <c r="C38" s="36" t="s">
        <v>183</v>
      </c>
      <c r="D38" s="36" t="s">
        <v>184</v>
      </c>
      <c r="E38" s="36" t="s">
        <v>185</v>
      </c>
      <c r="F38" s="36" t="s">
        <v>169</v>
      </c>
      <c r="G38" s="56">
        <f>Estimate!F52</f>
        <v>0</v>
      </c>
      <c r="I38" s="50">
        <v>6</v>
      </c>
    </row>
    <row r="39" spans="1:9" x14ac:dyDescent="0.25">
      <c r="A39" s="36">
        <f t="shared" si="0"/>
        <v>0</v>
      </c>
      <c r="B39" s="36">
        <f t="shared" si="1"/>
        <v>18</v>
      </c>
      <c r="C39" s="36" t="s">
        <v>183</v>
      </c>
      <c r="D39" s="36" t="s">
        <v>184</v>
      </c>
      <c r="E39" s="36" t="s">
        <v>186</v>
      </c>
      <c r="F39" s="36" t="s">
        <v>169</v>
      </c>
      <c r="G39" s="56">
        <f>Estimate!F55</f>
        <v>0</v>
      </c>
      <c r="I39" s="50">
        <v>6</v>
      </c>
    </row>
    <row r="40" spans="1:9" x14ac:dyDescent="0.25">
      <c r="A40" s="36">
        <f t="shared" si="0"/>
        <v>0</v>
      </c>
      <c r="B40" s="36">
        <f t="shared" si="1"/>
        <v>18</v>
      </c>
      <c r="C40" s="36" t="s">
        <v>183</v>
      </c>
      <c r="D40" s="36" t="s">
        <v>184</v>
      </c>
      <c r="E40" s="36" t="s">
        <v>199</v>
      </c>
      <c r="F40" s="36" t="s">
        <v>169</v>
      </c>
      <c r="G40" s="56">
        <f>Estimate!F57</f>
        <v>0</v>
      </c>
      <c r="I40" s="50">
        <v>6</v>
      </c>
    </row>
    <row r="41" spans="1:9" x14ac:dyDescent="0.25">
      <c r="A41" s="36">
        <f t="shared" si="0"/>
        <v>0</v>
      </c>
      <c r="B41" s="36">
        <f t="shared" si="1"/>
        <v>18</v>
      </c>
      <c r="C41" s="36" t="s">
        <v>183</v>
      </c>
      <c r="D41" s="36" t="s">
        <v>197</v>
      </c>
      <c r="E41" s="36" t="s">
        <v>281</v>
      </c>
      <c r="F41" s="36" t="s">
        <v>169</v>
      </c>
      <c r="G41" s="56">
        <f>EstimatingTool!E13</f>
        <v>0</v>
      </c>
      <c r="I41" s="50">
        <v>6</v>
      </c>
    </row>
    <row r="42" spans="1:9" x14ac:dyDescent="0.25">
      <c r="A42" s="36">
        <f t="shared" si="0"/>
        <v>0</v>
      </c>
      <c r="B42" s="36">
        <f t="shared" si="1"/>
        <v>18</v>
      </c>
      <c r="C42" s="36" t="s">
        <v>183</v>
      </c>
      <c r="D42" s="36" t="s">
        <v>197</v>
      </c>
      <c r="E42" s="36" t="s">
        <v>282</v>
      </c>
      <c r="F42" s="36" t="s">
        <v>169</v>
      </c>
      <c r="G42" s="56">
        <f>EstimatingTool!E18</f>
        <v>0</v>
      </c>
      <c r="I42" s="50">
        <v>6</v>
      </c>
    </row>
    <row r="43" spans="1:9" x14ac:dyDescent="0.25">
      <c r="A43" s="36">
        <f t="shared" si="0"/>
        <v>0</v>
      </c>
      <c r="B43" s="36">
        <f t="shared" si="1"/>
        <v>18</v>
      </c>
      <c r="C43" s="36" t="s">
        <v>183</v>
      </c>
      <c r="D43" s="36" t="s">
        <v>167</v>
      </c>
      <c r="E43" s="36" t="s">
        <v>247</v>
      </c>
      <c r="F43" s="36" t="s">
        <v>169</v>
      </c>
      <c r="G43" s="56">
        <f>EstimatingTool!D20</f>
        <v>0</v>
      </c>
      <c r="I43" s="50">
        <v>6</v>
      </c>
    </row>
    <row r="44" spans="1:9" x14ac:dyDescent="0.25">
      <c r="A44" s="36">
        <f t="shared" si="0"/>
        <v>0</v>
      </c>
      <c r="B44" s="36">
        <f t="shared" si="1"/>
        <v>18</v>
      </c>
      <c r="C44" s="36" t="s">
        <v>166</v>
      </c>
      <c r="D44" s="36" t="s">
        <v>167</v>
      </c>
      <c r="E44" s="36" t="s">
        <v>248</v>
      </c>
      <c r="F44" s="36" t="s">
        <v>169</v>
      </c>
      <c r="G44" s="56">
        <f>EstimatingTool!D21</f>
        <v>0</v>
      </c>
      <c r="I44" s="50">
        <v>6</v>
      </c>
    </row>
    <row r="45" spans="1:9" ht="27" x14ac:dyDescent="0.25">
      <c r="A45" s="132" t="s">
        <v>104</v>
      </c>
      <c r="B45" s="132" t="s">
        <v>144</v>
      </c>
      <c r="C45" s="132" t="s">
        <v>283</v>
      </c>
    </row>
    <row r="46" spans="1:9" x14ac:dyDescent="0.25">
      <c r="A46" s="36">
        <f>A44</f>
        <v>0</v>
      </c>
      <c r="B46" s="36">
        <f>B44</f>
        <v>18</v>
      </c>
      <c r="C46" s="36">
        <f>EstimatingTool!B32</f>
        <v>0</v>
      </c>
    </row>
    <row r="91" spans="21:28" x14ac:dyDescent="0.25">
      <c r="U91" s="50"/>
    </row>
    <row r="92" spans="21:28" x14ac:dyDescent="0.25">
      <c r="U92" s="50"/>
    </row>
    <row r="93" spans="21:28" x14ac:dyDescent="0.25">
      <c r="U93" s="50"/>
    </row>
    <row r="94" spans="21:28" x14ac:dyDescent="0.25">
      <c r="U94" s="50"/>
      <c r="V94" s="50"/>
    </row>
    <row r="95" spans="21:28" x14ac:dyDescent="0.25">
      <c r="U95" s="50"/>
      <c r="V95" s="50"/>
      <c r="W95" s="50"/>
    </row>
    <row r="96" spans="21:28" x14ac:dyDescent="0.25">
      <c r="U96" s="50"/>
      <c r="V96" s="50"/>
      <c r="W96" s="50"/>
      <c r="X96" s="50"/>
      <c r="Y96" s="50"/>
      <c r="Z96" s="50"/>
      <c r="AA96" s="50"/>
      <c r="AB96" s="50"/>
    </row>
    <row r="97" spans="21:33" x14ac:dyDescent="0.25"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</row>
    <row r="98" spans="21:33" x14ac:dyDescent="0.25"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</row>
    <row r="99" spans="21:33" x14ac:dyDescent="0.25"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</row>
    <row r="100" spans="21:33" x14ac:dyDescent="0.25"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21:33" x14ac:dyDescent="0.25"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21:33" x14ac:dyDescent="0.25"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21:33" x14ac:dyDescent="0.25"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21:33" x14ac:dyDescent="0.25"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21:33" x14ac:dyDescent="0.25"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21:33" x14ac:dyDescent="0.25"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21:33" x14ac:dyDescent="0.25"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1:33" x14ac:dyDescent="0.25"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21:33" x14ac:dyDescent="0.25"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1:33" x14ac:dyDescent="0.25"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1:33" x14ac:dyDescent="0.25"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</row>
    <row r="176" spans="33:33" x14ac:dyDescent="0.25">
      <c r="AG176" s="51"/>
    </row>
    <row r="177" spans="33:33" x14ac:dyDescent="0.25">
      <c r="AG177" s="51"/>
    </row>
    <row r="178" spans="33:33" x14ac:dyDescent="0.25">
      <c r="AG178" s="51"/>
    </row>
    <row r="179" spans="33:33" x14ac:dyDescent="0.25">
      <c r="AG179" s="51"/>
    </row>
    <row r="180" spans="33:33" x14ac:dyDescent="0.25">
      <c r="AG180" s="51"/>
    </row>
    <row r="181" spans="33:33" x14ac:dyDescent="0.25">
      <c r="AG181" s="51"/>
    </row>
    <row r="182" spans="33:33" x14ac:dyDescent="0.25">
      <c r="AG182" s="51"/>
    </row>
    <row r="183" spans="33:33" x14ac:dyDescent="0.25">
      <c r="AG183" s="51"/>
    </row>
    <row r="184" spans="33:33" x14ac:dyDescent="0.25">
      <c r="AG184" s="51"/>
    </row>
    <row r="185" spans="33:33" x14ac:dyDescent="0.25">
      <c r="AG185" s="51"/>
    </row>
    <row r="186" spans="33:33" x14ac:dyDescent="0.25">
      <c r="AG186" s="51"/>
    </row>
    <row r="187" spans="33:33" x14ac:dyDescent="0.25">
      <c r="AG187" s="51"/>
    </row>
    <row r="188" spans="33:33" x14ac:dyDescent="0.25">
      <c r="AG188" s="51"/>
    </row>
    <row r="189" spans="33:33" x14ac:dyDescent="0.25">
      <c r="AG189" s="51"/>
    </row>
    <row r="190" spans="33:33" x14ac:dyDescent="0.25">
      <c r="AG190" s="51"/>
    </row>
    <row r="191" spans="33:33" x14ac:dyDescent="0.25">
      <c r="AG191" s="51"/>
    </row>
    <row r="192" spans="33:33" x14ac:dyDescent="0.25">
      <c r="AG192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Estimate</vt:lpstr>
      <vt:lpstr>EstimatingTool</vt:lpstr>
      <vt:lpstr>JAC Lookup</vt:lpstr>
      <vt:lpstr>PriorEstimateData</vt:lpstr>
      <vt:lpstr>PriorActualsData</vt:lpstr>
      <vt:lpstr>BasicLookupData</vt:lpstr>
      <vt:lpstr>ReportInfo</vt:lpstr>
      <vt:lpstr>InsufficientAmount</vt:lpstr>
      <vt:lpstr>Estimate!Print_Area</vt:lpstr>
      <vt:lpstr>EstimatingTool!Print_Area</vt:lpstr>
      <vt:lpstr>'JAC Lookup'!Print_Area</vt:lpstr>
      <vt:lpstr>'JAC Lookup'!Print_Titles</vt:lpstr>
      <vt:lpstr>UnExpendedAmount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Lisa Daws</cp:lastModifiedBy>
  <cp:lastPrinted>2018-08-07T21:12:59Z</cp:lastPrinted>
  <dcterms:created xsi:type="dcterms:W3CDTF">2016-03-09T19:14:21Z</dcterms:created>
  <dcterms:modified xsi:type="dcterms:W3CDTF">2018-08-14T14:08:35Z</dcterms:modified>
</cp:coreProperties>
</file>