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Jury Mgmt Costs Analysis\Form\Jul-Aug-Sep Qtr\Finalized Version\Sent to Clerks\"/>
    </mc:Choice>
  </mc:AlternateContent>
  <workbookProtection workbookAlgorithmName="SHA-512" workbookHashValue="lNCFfA0HWfNNCX9XgkIRTHFzMMlcXwQN2JXteuArkRu6vhb16K0DTq0j97qNu1ybEb4MiiRf4+iOk/uJd7j1RA==" workbookSaltValue="pVo/4VJ1WzVuiBY258GbCg==" workbookSpinCount="100000" lockStructure="1"/>
  <bookViews>
    <workbookView xWindow="0" yWindow="0" windowWidth="20490" windowHeight="8820"/>
  </bookViews>
  <sheets>
    <sheet name="Estimate" sheetId="3" r:id="rId1"/>
    <sheet name="EstimatingTool" sheetId="8" r:id="rId2"/>
    <sheet name="JAC Lookup" sheetId="12" state="hidden" r:id="rId3"/>
    <sheet name="PriorEstimateData" sheetId="13" state="hidden" r:id="rId4"/>
    <sheet name="BasicLookupData" sheetId="6" state="hidden" r:id="rId5"/>
    <sheet name="ReportInfo" sheetId="7" state="hidden" r:id="rId6"/>
  </sheets>
  <definedNames>
    <definedName name="InsufficientAmount">Estimate!$F$55</definedName>
    <definedName name="_xlnm.Print_Area" localSheetId="0">Estimate!$A$1:$H$62</definedName>
    <definedName name="_xlnm.Print_Area" localSheetId="1">EstimatingTool!$A$1:$G$22</definedName>
    <definedName name="_xlnm.Print_Area" localSheetId="2">'JAC Lookup'!$A$1:$F$72</definedName>
    <definedName name="_xlnm.Print_Titles" localSheetId="2">'JAC Lookup'!$1:$4</definedName>
    <definedName name="UnExpendedAmount">Estimate!$F$52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7" l="1"/>
  <c r="B43" i="7"/>
  <c r="B44" i="7"/>
  <c r="B45" i="7"/>
  <c r="B46" i="7" s="1"/>
  <c r="A42" i="7"/>
  <c r="A43" i="7"/>
  <c r="A44" i="7"/>
  <c r="A45" i="7"/>
  <c r="A46" i="7" s="1"/>
  <c r="G46" i="7"/>
  <c r="G45" i="7"/>
  <c r="G44" i="7"/>
  <c r="G43" i="7"/>
  <c r="G42" i="7"/>
  <c r="G41" i="7"/>
  <c r="G39" i="7"/>
  <c r="G38" i="7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B26" i="7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E13" i="8" l="1"/>
  <c r="F12" i="8"/>
  <c r="I71" i="13"/>
  <c r="H71" i="13"/>
  <c r="G71" i="13"/>
  <c r="F71" i="13"/>
  <c r="E71" i="13"/>
  <c r="D71" i="13"/>
  <c r="C71" i="13"/>
  <c r="B71" i="13"/>
  <c r="C72" i="12" l="1"/>
  <c r="D72" i="12"/>
  <c r="E72" i="12"/>
  <c r="B72" i="12"/>
  <c r="F6" i="8"/>
  <c r="J5" i="6"/>
  <c r="J4" i="6"/>
  <c r="J3" i="6"/>
  <c r="J2" i="6"/>
  <c r="A2" i="3"/>
  <c r="A2" i="8" s="1"/>
  <c r="A3" i="3"/>
  <c r="A3" i="8" s="1"/>
  <c r="D12" i="8" l="1"/>
  <c r="J2" i="13"/>
  <c r="D18" i="8"/>
  <c r="D19" i="8"/>
  <c r="F3" i="12"/>
  <c r="D15" i="8"/>
  <c r="D10" i="8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F5" i="12"/>
  <c r="F69" i="12"/>
  <c r="F65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68" i="12"/>
  <c r="F64" i="12"/>
  <c r="F60" i="12"/>
  <c r="F56" i="12"/>
  <c r="F52" i="12"/>
  <c r="F48" i="12"/>
  <c r="F44" i="12"/>
  <c r="F40" i="12"/>
  <c r="F36" i="12"/>
  <c r="F32" i="12"/>
  <c r="F28" i="12"/>
  <c r="F24" i="12"/>
  <c r="F20" i="12"/>
  <c r="F16" i="12"/>
  <c r="F12" i="12"/>
  <c r="F8" i="12"/>
  <c r="F71" i="12"/>
  <c r="F67" i="12"/>
  <c r="F63" i="12"/>
  <c r="F59" i="12"/>
  <c r="F55" i="12"/>
  <c r="F51" i="12"/>
  <c r="F47" i="12"/>
  <c r="F43" i="12"/>
  <c r="F39" i="12"/>
  <c r="F35" i="12"/>
  <c r="F31" i="12"/>
  <c r="F27" i="12"/>
  <c r="F23" i="12"/>
  <c r="F19" i="12"/>
  <c r="F15" i="12"/>
  <c r="F11" i="12"/>
  <c r="F7" i="12"/>
  <c r="F70" i="12"/>
  <c r="F66" i="12"/>
  <c r="F62" i="12"/>
  <c r="F58" i="12"/>
  <c r="F54" i="12"/>
  <c r="F50" i="12"/>
  <c r="F46" i="12"/>
  <c r="F42" i="12"/>
  <c r="F38" i="12"/>
  <c r="F34" i="12"/>
  <c r="F30" i="12"/>
  <c r="F26" i="12"/>
  <c r="F22" i="12"/>
  <c r="F18" i="12"/>
  <c r="F14" i="12"/>
  <c r="F10" i="12"/>
  <c r="F6" i="12"/>
  <c r="F72" i="12" l="1"/>
  <c r="J71" i="13"/>
  <c r="F20" i="8" l="1"/>
  <c r="F4" i="8" l="1"/>
  <c r="F20" i="3" l="1"/>
  <c r="D6" i="8" l="1"/>
  <c r="G36" i="7" l="1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F15" i="8" l="1"/>
  <c r="F21" i="8" s="1"/>
  <c r="Q3" i="6"/>
  <c r="Q4" i="6"/>
  <c r="Q5" i="6"/>
  <c r="Q6" i="6"/>
  <c r="Q7" i="6"/>
  <c r="Q8" i="6"/>
  <c r="Q9" i="6"/>
  <c r="Q10" i="6"/>
  <c r="Q11" i="6"/>
  <c r="Q12" i="6"/>
  <c r="Q13" i="6"/>
  <c r="Q2" i="6"/>
  <c r="B9" i="7"/>
  <c r="B8" i="7"/>
  <c r="E1" i="7" l="1"/>
  <c r="A21" i="7" s="1"/>
  <c r="B7" i="7"/>
  <c r="F28" i="3"/>
  <c r="A22" i="7" l="1"/>
  <c r="A23" i="7" s="1"/>
  <c r="A24" i="7" s="1"/>
  <c r="A25" i="7" s="1"/>
  <c r="F35" i="3" l="1"/>
  <c r="F42" i="3"/>
  <c r="F46" i="3" l="1"/>
  <c r="F48" i="3" s="1"/>
  <c r="F10" i="8" l="1"/>
  <c r="G37" i="7"/>
  <c r="F55" i="3" l="1"/>
  <c r="F52" i="3" l="1"/>
  <c r="F57" i="3" s="1"/>
  <c r="G40" i="7" s="1"/>
</calcChain>
</file>

<file path=xl/sharedStrings.xml><?xml version="1.0" encoding="utf-8"?>
<sst xmlns="http://schemas.openxmlformats.org/spreadsheetml/2006/main" count="641" uniqueCount="263">
  <si>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</si>
  <si>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</si>
  <si>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</si>
  <si>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</si>
  <si>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</si>
  <si>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</si>
  <si>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</si>
  <si>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</si>
  <si>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</si>
  <si>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</si>
  <si>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</si>
  <si>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</si>
  <si>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</si>
  <si>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</si>
  <si>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</si>
  <si>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</si>
  <si>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</si>
  <si>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</si>
  <si>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</si>
  <si>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</si>
  <si>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</si>
  <si>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</si>
  <si>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</si>
  <si>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</si>
  <si>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</si>
  <si>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</si>
  <si>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</si>
  <si>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</si>
  <si>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</si>
  <si>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</si>
  <si>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</si>
  <si>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</si>
  <si>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</si>
  <si>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</si>
  <si>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</si>
  <si>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</si>
  <si>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</si>
  <si>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</si>
  <si>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</si>
  <si>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</si>
  <si>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</si>
  <si>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</si>
  <si>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</si>
  <si>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</si>
  <si>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</si>
  <si>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</si>
  <si>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</si>
  <si>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</si>
  <si>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</si>
  <si>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</si>
  <si>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</si>
  <si>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</si>
  <si>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</si>
  <si>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</si>
  <si>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</si>
  <si>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</si>
  <si>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</si>
  <si>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</si>
  <si>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</si>
  <si>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</si>
  <si>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</si>
  <si>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</si>
  <si>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</si>
  <si>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</si>
  <si>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</si>
  <si>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</si>
  <si>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</si>
  <si>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</si>
  <si>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</si>
  <si>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</si>
  <si>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</si>
  <si>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</si>
  <si>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</si>
  <si>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</si>
  <si>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</si>
  <si>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</si>
  <si>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</si>
  <si>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</si>
  <si>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</si>
  <si>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</si>
  <si>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</si>
  <si>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</si>
  <si>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</si>
  <si>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</si>
  <si>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</si>
  <si>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</si>
  <si>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</si>
  <si>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</si>
  <si>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</si>
  <si>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</si>
  <si>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</si>
  <si>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</si>
  <si>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</si>
  <si>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</si>
  <si>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</si>
  <si>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</si>
  <si>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</si>
  <si>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</si>
  <si>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</si>
  <si>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</si>
  <si>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</si>
  <si>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</si>
  <si>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</si>
  <si>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</si>
  <si>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</si>
  <si>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</si>
  <si>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</si>
  <si>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</si>
  <si>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</si>
  <si>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</si>
  <si>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</si>
  <si>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</si>
  <si>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</si>
  <si>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</si>
  <si>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</si>
  <si>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</si>
  <si>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</si>
  <si>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</si>
  <si>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</si>
  <si>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</si>
  <si>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</si>
  <si>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</si>
  <si>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</si>
  <si>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</si>
  <si>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</si>
  <si>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</si>
  <si>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</si>
  <si>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</si>
  <si>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</si>
  <si>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</si>
  <si>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</si>
  <si>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</si>
  <si>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</si>
  <si>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</si>
  <si>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</si>
  <si>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</si>
  <si>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</si>
  <si>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</si>
  <si>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</si>
  <si>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</si>
  <si>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</si>
  <si>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</si>
  <si>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</si>
  <si>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</si>
  <si>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</si>
  <si>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</si>
  <si>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</si>
  <si>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</si>
  <si>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</si>
  <si>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</si>
  <si>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</si>
  <si>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</si>
  <si>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</si>
  <si>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</si>
  <si>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</si>
  <si>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</si>
  <si>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</si>
  <si>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</si>
  <si>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</si>
  <si>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SFY1718-Qtr2</t>
  </si>
  <si>
    <t>SFY1718-Qtr3</t>
  </si>
  <si>
    <t>SFY1718-Qtr4</t>
  </si>
  <si>
    <t>SFY1819-Qtr1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</si>
  <si>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</si>
  <si>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</si>
  <si>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</si>
  <si>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</si>
  <si>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</si>
  <si>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</si>
  <si>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</si>
  <si>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</si>
  <si>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</si>
  <si>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</si>
  <si>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</si>
  <si>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</si>
  <si>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</si>
  <si>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</si>
  <si>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</si>
  <si>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</si>
  <si>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</si>
  <si>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</si>
  <si>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</si>
  <si>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</si>
  <si>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</si>
  <si>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</si>
  <si>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</si>
  <si>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</si>
  <si>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</si>
  <si>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</si>
  <si>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</si>
  <si>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Estimating Qtr: 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</si>
  <si>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</si>
  <si>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</si>
  <si>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</si>
  <si>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</si>
  <si>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</si>
  <si>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</si>
  <si>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</si>
  <si>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</si>
  <si>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</si>
  <si>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</si>
  <si>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</si>
  <si>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</si>
  <si>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</si>
  <si>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Estimated May + Estimated June Actual Expenditures</t>
  </si>
  <si>
    <t>One-Step Process:</t>
  </si>
  <si>
    <t xml:space="preserve">Excess (Over)/Under Expended Amount: </t>
  </si>
  <si>
    <t>Quarterly Estimates of Clerk Juror Costs</t>
  </si>
  <si>
    <t>Estimates for Quarter</t>
  </si>
  <si>
    <t>County</t>
  </si>
  <si>
    <t>Total</t>
  </si>
  <si>
    <t>Quarter: Apr-May-Jun of SFY17/18</t>
  </si>
  <si>
    <t>Current Quarter Projected Actuals: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</si>
  <si>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</si>
  <si>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</si>
  <si>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</si>
  <si>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</si>
  <si>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</si>
  <si>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</si>
  <si>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</si>
  <si>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</si>
  <si>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</si>
  <si>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</si>
  <si>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</si>
  <si>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t>CCOC Form Version 5
Created 05/11/18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</si>
  <si>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</si>
  <si>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</si>
  <si>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</si>
  <si>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</si>
  <si>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</si>
  <si>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</si>
  <si>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For example, an adjustment to the Apr-May-Jun JAC Disbursement Amount (cell ref. F14) for any previous Unexpended or Insufficient Amount that was either added or subtracted to previous Distributions provided by the JAC (cell ref. E15).</t>
  </si>
  <si>
    <t>Excess (Over)/Under Amount Adjustment from Previous Quarter(s):</t>
  </si>
  <si>
    <t>EstToolText1</t>
  </si>
  <si>
    <t>July Actual Expenditures</t>
  </si>
  <si>
    <t>October Actual Expenditures</t>
  </si>
  <si>
    <t>January Actual Expenditures</t>
  </si>
  <si>
    <t>EstToolText2</t>
  </si>
  <si>
    <t>Estimated November + Estimated December Actual Expenditures</t>
  </si>
  <si>
    <t>Estimated February + Estimated March Actual Expenditures</t>
  </si>
  <si>
    <t>Estimated August + Estimated September Actual Expenditures</t>
  </si>
  <si>
    <t>Current Quarter Actuals Projection Calculation: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</si>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</sst>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_);_(&quot;$&quot;* \(#,##0.00\)"/>
    <numFmt numFmtId="165" formatCode="[$-409]mmmm\ d\,\ yyyy;@"/>
    <numFmt numFmtId="166" formatCode="0.0"/>
  </numFmts>
  <fonts count="30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4" fillId="0" borderId="0" xfId="0" applyFont="1" applyAlignment="1" applyProtection="1">
      <alignment horizontal="right" vertical="center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19" fillId="0" borderId="0" xfId="0" applyNumberFormat="1" applyFont="1" applyProtection="1"/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14" fillId="0" borderId="0" xfId="0" applyFont="1" applyAlignment="1" applyProtection="1">
      <alignment horizontal="right" vertical="center"/>
    </xf>
    <xf numFmtId="0" fontId="22" fillId="3" borderId="1" xfId="6" applyFill="1" applyBorder="1" applyAlignment="1" applyProtection="1">
      <alignment horizontal="center" vertical="center"/>
      <protection locked="0"/>
    </xf>
    <xf numFmtId="44" fontId="17" fillId="8" borderId="0" xfId="2" applyFont="1" applyFill="1" applyProtection="1"/>
    <xf numFmtId="44" fontId="17" fillId="8" borderId="14" xfId="2" applyFont="1" applyFill="1" applyBorder="1" applyProtection="1"/>
    <xf numFmtId="44" fontId="14" fillId="0" borderId="0" xfId="0" applyNumberFormat="1" applyFont="1" applyProtection="1"/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 indent="4"/>
    </xf>
    <xf numFmtId="0" fontId="17" fillId="0" borderId="0" xfId="0" applyFont="1" applyAlignment="1" applyProtection="1">
      <alignment wrapText="1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8" xfId="0" applyFont="1" applyFill="1" applyBorder="1" applyAlignment="1" applyProtection="1">
      <alignment horizontal="center" wrapText="1"/>
    </xf>
    <xf numFmtId="0" fontId="19" fillId="0" borderId="19" xfId="0" applyFont="1" applyFill="1" applyBorder="1" applyAlignment="1" applyProtection="1">
      <alignment vertical="center" wrapText="1"/>
    </xf>
    <xf numFmtId="0" fontId="29" fillId="12" borderId="17" xfId="0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wrapText="1"/>
    </xf>
    <xf numFmtId="0" fontId="29" fillId="12" borderId="16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Protection="1"/>
    <xf numFmtId="44" fontId="0" fillId="0" borderId="15" xfId="0" applyNumberFormat="1" applyFill="1" applyBorder="1" applyProtection="1"/>
    <xf numFmtId="44" fontId="0" fillId="13" borderId="16" xfId="2" applyFont="1" applyFill="1" applyBorder="1" applyProtection="1"/>
    <xf numFmtId="0" fontId="0" fillId="0" borderId="24" xfId="0" applyFont="1" applyFill="1" applyBorder="1" applyProtection="1"/>
    <xf numFmtId="44" fontId="0" fillId="0" borderId="25" xfId="0" applyNumberFormat="1" applyFill="1" applyBorder="1" applyProtection="1"/>
    <xf numFmtId="0" fontId="20" fillId="9" borderId="21" xfId="0" applyFont="1" applyFill="1" applyBorder="1" applyProtection="1"/>
    <xf numFmtId="44" fontId="20" fillId="11" borderId="22" xfId="0" applyNumberFormat="1" applyFont="1" applyFill="1" applyBorder="1" applyProtection="1"/>
    <xf numFmtId="44" fontId="0" fillId="4" borderId="15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44" fontId="0" fillId="13" borderId="26" xfId="2" applyFont="1" applyFill="1" applyBorder="1" applyProtection="1"/>
    <xf numFmtId="0" fontId="12" fillId="5" borderId="27" xfId="5" applyFont="1" applyFill="1" applyBorder="1" applyAlignment="1" applyProtection="1">
      <alignment wrapText="1"/>
    </xf>
    <xf numFmtId="0" fontId="12" fillId="12" borderId="30" xfId="5" applyFont="1" applyFill="1" applyBorder="1" applyAlignment="1" applyProtection="1">
      <alignment horizontal="center" wrapText="1"/>
    </xf>
    <xf numFmtId="0" fontId="12" fillId="5" borderId="18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44" fontId="0" fillId="4" borderId="20" xfId="2" applyFont="1" applyFill="1" applyBorder="1" applyProtection="1">
      <protection locked="0"/>
    </xf>
    <xf numFmtId="44" fontId="0" fillId="4" borderId="16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44" fontId="0" fillId="4" borderId="26" xfId="2" applyFont="1" applyFill="1" applyBorder="1" applyProtection="1">
      <protection locked="0"/>
    </xf>
    <xf numFmtId="0" fontId="0" fillId="0" borderId="28" xfId="0" applyBorder="1" applyProtection="1"/>
    <xf numFmtId="7" fontId="0" fillId="0" borderId="20" xfId="0" applyNumberFormat="1" applyBorder="1" applyProtection="1"/>
    <xf numFmtId="44" fontId="0" fillId="0" borderId="16" xfId="2" applyFont="1" applyBorder="1" applyProtection="1"/>
    <xf numFmtId="44" fontId="0" fillId="13" borderId="31" xfId="2" applyFont="1" applyFill="1" applyBorder="1" applyProtection="1"/>
    <xf numFmtId="0" fontId="0" fillId="0" borderId="29" xfId="0" applyBorder="1" applyProtection="1"/>
    <xf numFmtId="7" fontId="0" fillId="0" borderId="24" xfId="0" applyNumberFormat="1" applyBorder="1" applyProtection="1"/>
    <xf numFmtId="44" fontId="0" fillId="0" borderId="26" xfId="2" applyFont="1" applyBorder="1" applyProtection="1"/>
    <xf numFmtId="44" fontId="0" fillId="13" borderId="32" xfId="2" applyFont="1" applyFill="1" applyBorder="1" applyProtection="1"/>
    <xf numFmtId="0" fontId="0" fillId="0" borderId="11" xfId="0" applyBorder="1" applyProtection="1"/>
    <xf numFmtId="7" fontId="0" fillId="0" borderId="21" xfId="0" applyNumberFormat="1" applyBorder="1" applyProtection="1"/>
    <xf numFmtId="44" fontId="0" fillId="0" borderId="23" xfId="2" applyFont="1" applyBorder="1" applyProtection="1"/>
    <xf numFmtId="44" fontId="0" fillId="0" borderId="21" xfId="2" applyFont="1" applyBorder="1" applyProtection="1"/>
    <xf numFmtId="44" fontId="0" fillId="0" borderId="13" xfId="2" applyFont="1" applyBorder="1" applyProtection="1"/>
    <xf numFmtId="44" fontId="17" fillId="3" borderId="0" xfId="2" applyFont="1" applyFill="1" applyProtection="1">
      <protection locked="0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right" vertic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44" fontId="17" fillId="8" borderId="0" xfId="2" applyFont="1" applyFill="1" applyAlignment="1" applyProtection="1">
      <alignment horizontal="right"/>
    </xf>
    <xf numFmtId="0" fontId="14" fillId="10" borderId="0" xfId="0" applyFont="1" applyFill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</cellXfs>
  <cellStyles count="7">
    <cellStyle name="Currency" xfId="2" builtinId="4"/>
    <cellStyle name="Hyperlink" xfId="6" builtinId="8"/>
    <cellStyle name="Line 1 Report Info Fill in" xfId="3"/>
    <cellStyle name="Line 2 Report Information Fill In" xfId="4"/>
    <cellStyle name="Normal" xfId="0" builtinId="0"/>
    <cellStyle name="Normal 10 2" xfId="5"/>
    <cellStyle name="Normal 2" xfId="1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2500297</xdr:colOff>
      <xdr:row>2</xdr:row>
      <xdr:rowOff>408215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180445</xdr:colOff>
      <xdr:row>0</xdr:row>
      <xdr:rowOff>66787</xdr:rowOff>
    </xdr:from>
    <xdr:to>
      <xdr:col>6</xdr:col>
      <xdr:colOff>393260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445" y="66787"/>
          <a:ext cx="2240280" cy="797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65"/>
  <sheetViews>
    <sheetView showGridLines="0" tabSelected="1" view="pageBreakPreview" zoomScale="70" zoomScaleNormal="90" zoomScaleSheetLayoutView="70" workbookViewId="0">
      <selection activeCell="F14" sqref="F14"/>
    </sheetView>
  </sheetViews>
  <sheetFormatPr defaultColWidth="8.88671875" defaultRowHeight="15.75" x14ac:dyDescent="0.3"/>
  <cols>
    <col min="1" max="1" width="20.33203125" style="1" customWidth="1"/>
    <col min="2" max="2" width="3.33203125" style="1" customWidth="1"/>
    <col min="3" max="3" width="21.88671875" style="1" customWidth="1"/>
    <col min="4" max="4" width="31" style="1" customWidth="1"/>
    <col min="5" max="5" width="12.88671875" style="1" customWidth="1"/>
    <col min="6" max="6" width="13.5546875" style="1" bestFit="1" customWidth="1"/>
    <col min="7" max="7" width="3.88671875" customWidth="1"/>
    <col min="8" max="8" width="30.21875" style="1" customWidth="1"/>
    <col min="9" max="16384" width="8.88671875" style="1"/>
  </cols>
  <sheetData>
    <row r="1" spans="1:13" ht="21" customHeight="1" x14ac:dyDescent="0.3">
      <c r="A1" s="85" t="s">
        <v>225</v>
      </c>
      <c r="B1" s="78"/>
      <c r="C1" s="84"/>
      <c r="D1" s="78"/>
      <c r="E1" s="78"/>
      <c r="F1" s="78"/>
      <c r="H1" s="78"/>
    </row>
    <row r="2" spans="1:13" ht="16.5" x14ac:dyDescent="0.3">
      <c r="A2" s="134" t="str">
        <f>INDEX(BasicLookupData!I2:I5,MATCH(Estimate!F4,BasicLookupData!H2:H5,0))</f>
        <v xml:space="preserve"> Form # 1</v>
      </c>
      <c r="B2" s="134"/>
      <c r="C2" s="134"/>
      <c r="E2" s="15"/>
      <c r="F2" s="14"/>
      <c r="H2" s="14"/>
      <c r="I2" s="14"/>
      <c r="J2" s="14"/>
      <c r="K2" s="14"/>
      <c r="L2" s="14"/>
      <c r="M2" s="14"/>
    </row>
    <row r="3" spans="1:13" ht="40.5" customHeight="1" x14ac:dyDescent="0.3">
      <c r="A3" s="133" t="str">
        <f>INDEX(BasicLookupData!J2:J5,MATCH(Estimate!F4,BasicLookupData!H2:H5,0))</f>
        <v xml:space="preserve"> SFY 18/19: Q1 Jul - Aug - Sep
 CFY 17/18: Q4 Jul - Aug - Sep</v>
      </c>
      <c r="B3" s="133"/>
      <c r="C3" s="133"/>
      <c r="E3" s="15"/>
      <c r="F3" s="14"/>
      <c r="H3" s="14"/>
      <c r="I3" s="14"/>
      <c r="J3" s="14"/>
      <c r="K3" s="14"/>
      <c r="L3" s="14"/>
      <c r="M3" s="14"/>
    </row>
    <row r="4" spans="1:13" ht="39.75" customHeight="1" x14ac:dyDescent="0.3">
      <c r="C4" s="16" t="s">
        <v>101</v>
      </c>
      <c r="D4" s="17"/>
      <c r="E4" s="16" t="s">
        <v>190</v>
      </c>
      <c r="F4" s="59" t="s">
        <v>218</v>
      </c>
      <c r="H4" s="82" t="s">
        <v>224</v>
      </c>
      <c r="I4" s="14"/>
      <c r="J4" s="14"/>
      <c r="K4" s="14"/>
      <c r="L4" s="14"/>
      <c r="M4" s="14"/>
    </row>
    <row r="5" spans="1:13" ht="22.5" customHeight="1" x14ac:dyDescent="0.3">
      <c r="C5" s="16" t="s">
        <v>102</v>
      </c>
      <c r="D5" s="58"/>
      <c r="E5" s="16" t="s">
        <v>214</v>
      </c>
      <c r="F5" s="17">
        <v>1</v>
      </c>
      <c r="H5" s="14"/>
      <c r="I5" s="14"/>
      <c r="J5" s="14"/>
      <c r="K5" s="14"/>
      <c r="L5" s="14"/>
      <c r="M5" s="14"/>
    </row>
    <row r="6" spans="1:13" ht="31.5" customHeight="1" x14ac:dyDescent="0.3">
      <c r="C6" s="16" t="s">
        <v>103</v>
      </c>
      <c r="D6" s="71"/>
      <c r="H6" s="14"/>
      <c r="I6" s="14"/>
      <c r="J6" s="14"/>
      <c r="K6" s="14"/>
      <c r="L6" s="14"/>
      <c r="M6" s="14"/>
    </row>
    <row r="7" spans="1:13" ht="24" customHeight="1" x14ac:dyDescent="0.3">
      <c r="I7" s="14"/>
    </row>
    <row r="8" spans="1:13" ht="21" x14ac:dyDescent="0.3">
      <c r="B8" s="23" t="s">
        <v>0</v>
      </c>
      <c r="D8" s="3"/>
      <c r="E8" s="3"/>
    </row>
    <row r="9" spans="1:13" ht="32.25" customHeight="1" x14ac:dyDescent="0.3">
      <c r="C9" s="135" t="s">
        <v>117</v>
      </c>
      <c r="D9" s="135"/>
      <c r="F9" s="28"/>
    </row>
    <row r="10" spans="1:13" ht="15.75" customHeight="1" x14ac:dyDescent="0.35">
      <c r="C10" s="22"/>
      <c r="D10" s="4"/>
    </row>
    <row r="11" spans="1:13" ht="21" x14ac:dyDescent="0.3">
      <c r="B11" s="23" t="s">
        <v>80</v>
      </c>
      <c r="D11" s="3"/>
      <c r="E11" s="3"/>
    </row>
    <row r="12" spans="1:13" ht="21" customHeight="1" x14ac:dyDescent="0.35">
      <c r="C12" s="135" t="s">
        <v>79</v>
      </c>
      <c r="D12" s="135"/>
      <c r="E12" s="5"/>
      <c r="F12" s="1" t="s">
        <v>200</v>
      </c>
    </row>
    <row r="13" spans="1:13" ht="10.5" customHeight="1" x14ac:dyDescent="0.35">
      <c r="C13" s="6"/>
      <c r="D13" s="4"/>
      <c r="E13" s="5"/>
    </row>
    <row r="14" spans="1:13" ht="21.75" customHeight="1" x14ac:dyDescent="0.3">
      <c r="D14" s="22" t="s">
        <v>1</v>
      </c>
      <c r="F14" s="28"/>
    </row>
    <row r="15" spans="1:13" ht="21.75" customHeight="1" x14ac:dyDescent="0.35">
      <c r="C15" s="7"/>
      <c r="D15" s="22" t="s">
        <v>12</v>
      </c>
      <c r="F15" s="29"/>
    </row>
    <row r="16" spans="1:13" ht="21.75" customHeight="1" x14ac:dyDescent="0.35">
      <c r="C16" s="7"/>
      <c r="D16" s="22" t="s">
        <v>13</v>
      </c>
      <c r="F16" s="28"/>
    </row>
    <row r="17" spans="2:6" ht="11.25" customHeight="1" x14ac:dyDescent="0.35">
      <c r="C17" s="7"/>
      <c r="D17" s="22"/>
      <c r="E17" s="5"/>
    </row>
    <row r="18" spans="2:6" ht="21.75" customHeight="1" x14ac:dyDescent="0.35">
      <c r="C18" s="7"/>
      <c r="D18" s="22" t="s">
        <v>14</v>
      </c>
      <c r="E18" s="4"/>
      <c r="F18" s="29"/>
    </row>
    <row r="19" spans="2:6" ht="21.75" thickBot="1" x14ac:dyDescent="0.4">
      <c r="C19" s="7"/>
      <c r="D19" s="138"/>
      <c r="E19" s="138"/>
    </row>
    <row r="20" spans="2:6" ht="22.5" thickTop="1" thickBot="1" x14ac:dyDescent="0.4">
      <c r="C20" s="4"/>
      <c r="D20" s="26"/>
      <c r="E20" s="25" t="s">
        <v>118</v>
      </c>
      <c r="F20" s="30">
        <f>SUM(F18,F14:F16)</f>
        <v>0</v>
      </c>
    </row>
    <row r="21" spans="2:6" ht="10.5" customHeight="1" thickTop="1" x14ac:dyDescent="0.35">
      <c r="E21" s="8"/>
    </row>
    <row r="22" spans="2:6" ht="21" customHeight="1" x14ac:dyDescent="0.3">
      <c r="B22" s="23" t="s">
        <v>2</v>
      </c>
      <c r="D22" s="3"/>
      <c r="E22" s="9"/>
    </row>
    <row r="23" spans="2:6" ht="19.5" customHeight="1" x14ac:dyDescent="0.35">
      <c r="C23" s="137" t="s">
        <v>3</v>
      </c>
      <c r="D23" s="137"/>
      <c r="E23" s="10"/>
    </row>
    <row r="24" spans="2:6" ht="21.75" customHeight="1" x14ac:dyDescent="0.35">
      <c r="C24" s="7"/>
      <c r="D24" s="24">
        <v>15</v>
      </c>
      <c r="F24" s="29"/>
    </row>
    <row r="25" spans="2:6" ht="21.75" customHeight="1" x14ac:dyDescent="0.35">
      <c r="C25" s="7"/>
      <c r="D25" s="24">
        <v>30</v>
      </c>
      <c r="F25" s="28"/>
    </row>
    <row r="26" spans="2:6" ht="21.75" customHeight="1" x14ac:dyDescent="0.35">
      <c r="C26" s="7"/>
      <c r="D26" s="24" t="s">
        <v>4</v>
      </c>
      <c r="F26" s="29"/>
    </row>
    <row r="27" spans="2:6" ht="21.75" thickBot="1" x14ac:dyDescent="0.4">
      <c r="C27" s="7"/>
      <c r="D27" s="12"/>
      <c r="E27" s="10"/>
    </row>
    <row r="28" spans="2:6" ht="22.5" thickTop="1" thickBot="1" x14ac:dyDescent="0.4">
      <c r="C28" s="7"/>
      <c r="E28" s="20" t="s">
        <v>119</v>
      </c>
      <c r="F28" s="30">
        <f>SUM(F24:F26)</f>
        <v>0</v>
      </c>
    </row>
    <row r="29" spans="2:6" ht="21.75" thickTop="1" x14ac:dyDescent="0.35">
      <c r="C29" s="7"/>
      <c r="D29" s="4"/>
      <c r="E29" s="10"/>
    </row>
    <row r="30" spans="2:6" ht="24" customHeight="1" x14ac:dyDescent="0.35">
      <c r="C30" s="137" t="s">
        <v>5</v>
      </c>
      <c r="D30" s="137"/>
      <c r="E30" s="10"/>
    </row>
    <row r="31" spans="2:6" ht="21.75" customHeight="1" x14ac:dyDescent="0.35">
      <c r="C31" s="4"/>
      <c r="D31" s="24">
        <v>15</v>
      </c>
      <c r="F31" s="29"/>
    </row>
    <row r="32" spans="2:6" ht="21.75" customHeight="1" x14ac:dyDescent="0.35">
      <c r="C32" s="4"/>
      <c r="D32" s="24">
        <v>30</v>
      </c>
      <c r="F32" s="28"/>
    </row>
    <row r="33" spans="2:6" ht="21.75" customHeight="1" x14ac:dyDescent="0.35">
      <c r="C33" s="4"/>
      <c r="D33" s="24" t="s">
        <v>4</v>
      </c>
      <c r="F33" s="29"/>
    </row>
    <row r="34" spans="2:6" ht="21.75" thickBot="1" x14ac:dyDescent="0.4">
      <c r="C34" s="4"/>
      <c r="D34" s="11"/>
      <c r="E34" s="10"/>
    </row>
    <row r="35" spans="2:6" ht="22.5" thickTop="1" thickBot="1" x14ac:dyDescent="0.4">
      <c r="C35" s="4"/>
      <c r="E35" s="20" t="s">
        <v>120</v>
      </c>
      <c r="F35" s="30">
        <f>SUM(F31:F33)</f>
        <v>0</v>
      </c>
    </row>
    <row r="36" spans="2:6" ht="20.25" thickTop="1" x14ac:dyDescent="0.35">
      <c r="C36" s="137" t="s">
        <v>6</v>
      </c>
      <c r="D36" s="137"/>
      <c r="E36" s="10"/>
    </row>
    <row r="37" spans="2:6" ht="21.75" customHeight="1" x14ac:dyDescent="0.35">
      <c r="C37" s="4"/>
      <c r="D37" s="24" t="s">
        <v>7</v>
      </c>
      <c r="F37" s="28"/>
    </row>
    <row r="38" spans="2:6" ht="21.75" customHeight="1" x14ac:dyDescent="0.35">
      <c r="C38" s="4"/>
      <c r="D38" s="24" t="s">
        <v>8</v>
      </c>
      <c r="F38" s="29"/>
    </row>
    <row r="39" spans="2:6" ht="21.75" customHeight="1" x14ac:dyDescent="0.35">
      <c r="C39" s="4"/>
      <c r="D39" s="24" t="s">
        <v>9</v>
      </c>
      <c r="F39" s="28"/>
    </row>
    <row r="40" spans="2:6" ht="21.75" customHeight="1" x14ac:dyDescent="0.35">
      <c r="C40" s="4"/>
      <c r="D40" s="24" t="s">
        <v>217</v>
      </c>
      <c r="F40" s="29"/>
    </row>
    <row r="41" spans="2:6" ht="21.75" thickBot="1" x14ac:dyDescent="0.4">
      <c r="C41" s="4"/>
      <c r="D41" s="4"/>
      <c r="E41" s="10"/>
    </row>
    <row r="42" spans="2:6" ht="22.5" thickTop="1" thickBot="1" x14ac:dyDescent="0.4">
      <c r="C42" s="4"/>
      <c r="E42" s="20" t="s">
        <v>121</v>
      </c>
      <c r="F42" s="30">
        <f>SUM(F37:F40)</f>
        <v>0</v>
      </c>
    </row>
    <row r="43" spans="2:6" ht="21.75" thickTop="1" x14ac:dyDescent="0.35">
      <c r="C43" s="4"/>
      <c r="D43" s="4"/>
      <c r="E43" s="10"/>
    </row>
    <row r="44" spans="2:6" ht="21.75" customHeight="1" x14ac:dyDescent="0.3">
      <c r="C44" s="27" t="s">
        <v>10</v>
      </c>
      <c r="D44" s="27"/>
      <c r="E44" s="20" t="s">
        <v>122</v>
      </c>
      <c r="F44" s="28"/>
    </row>
    <row r="45" spans="2:6" ht="21.75" thickBot="1" x14ac:dyDescent="0.4">
      <c r="C45" s="2"/>
      <c r="D45" s="4"/>
      <c r="E45" s="10"/>
    </row>
    <row r="46" spans="2:6" ht="22.5" thickTop="1" thickBot="1" x14ac:dyDescent="0.4">
      <c r="C46" s="4"/>
      <c r="E46" s="25" t="s">
        <v>123</v>
      </c>
      <c r="F46" s="31">
        <f>F44+F42+F35+F28</f>
        <v>0</v>
      </c>
    </row>
    <row r="47" spans="2:6" ht="22.5" customHeight="1" thickTop="1" thickBot="1" x14ac:dyDescent="0.35">
      <c r="C47" s="33" t="s">
        <v>99</v>
      </c>
    </row>
    <row r="48" spans="2:6" ht="26.25" customHeight="1" thickTop="1" thickBot="1" x14ac:dyDescent="0.4">
      <c r="B48" s="136" t="s">
        <v>96</v>
      </c>
      <c r="C48" s="136"/>
      <c r="D48" s="136"/>
      <c r="E48" s="136"/>
      <c r="F48" s="32">
        <f>F46+F20+F9</f>
        <v>0</v>
      </c>
    </row>
    <row r="49" spans="2:8" ht="16.5" thickTop="1" x14ac:dyDescent="0.3">
      <c r="F49" s="83" t="s">
        <v>125</v>
      </c>
    </row>
    <row r="51" spans="2:8" x14ac:dyDescent="0.3">
      <c r="B51" s="53"/>
      <c r="C51" s="55" t="s">
        <v>97</v>
      </c>
      <c r="D51" s="53"/>
      <c r="E51" s="53"/>
      <c r="F51" s="53"/>
      <c r="H51" s="53"/>
    </row>
    <row r="52" spans="2:8" ht="21.75" customHeight="1" x14ac:dyDescent="0.3">
      <c r="B52" s="53"/>
      <c r="C52" s="52"/>
      <c r="D52" s="53"/>
      <c r="E52" s="54" t="s">
        <v>201</v>
      </c>
      <c r="F52" s="63">
        <f>IFERROR(IF(EstimatingTool!F21&gt;0,EstimatingTool!F21,0),0)</f>
        <v>0</v>
      </c>
      <c r="H52" s="53"/>
    </row>
    <row r="53" spans="2:8" x14ac:dyDescent="0.3">
      <c r="B53" s="53"/>
      <c r="C53" s="52"/>
      <c r="D53" s="53"/>
      <c r="E53" s="53"/>
      <c r="F53" s="53"/>
      <c r="H53" s="53"/>
    </row>
    <row r="54" spans="2:8" ht="21.75" customHeight="1" x14ac:dyDescent="0.3">
      <c r="B54" s="53"/>
      <c r="C54" s="55" t="s">
        <v>98</v>
      </c>
      <c r="D54" s="53"/>
      <c r="E54" s="53"/>
      <c r="F54" s="53"/>
      <c r="H54" s="53"/>
    </row>
    <row r="55" spans="2:8" ht="21.75" customHeight="1" x14ac:dyDescent="0.3">
      <c r="B55" s="53"/>
      <c r="C55" s="52"/>
      <c r="D55" s="53"/>
      <c r="E55" s="54" t="s">
        <v>202</v>
      </c>
      <c r="F55" s="63">
        <f>IFERROR(IF(EstimatingTool!F21&lt;0,-1*EstimatingTool!F21,0),0)</f>
        <v>0</v>
      </c>
      <c r="H55" s="53"/>
    </row>
    <row r="56" spans="2:8" ht="16.5" thickBot="1" x14ac:dyDescent="0.35">
      <c r="B56" s="53"/>
      <c r="C56" s="53"/>
      <c r="D56" s="53"/>
      <c r="E56" s="53"/>
      <c r="F56" s="53"/>
      <c r="H56" s="53"/>
    </row>
    <row r="57" spans="2:8" ht="25.5" thickTop="1" thickBot="1" x14ac:dyDescent="0.4">
      <c r="B57" s="136" t="s">
        <v>100</v>
      </c>
      <c r="C57" s="136"/>
      <c r="D57" s="136"/>
      <c r="E57" s="136"/>
      <c r="F57" s="32">
        <f>IFERROR(IF(F48-F52+F55&lt;0,0,F48-F52+F55),0)</f>
        <v>0</v>
      </c>
    </row>
    <row r="58" spans="2:8" ht="16.5" thickTop="1" x14ac:dyDescent="0.3">
      <c r="F58" s="83" t="s">
        <v>124</v>
      </c>
    </row>
    <row r="60" spans="2:8" x14ac:dyDescent="0.3">
      <c r="B60" s="34" t="s">
        <v>15</v>
      </c>
      <c r="H60"/>
    </row>
    <row r="61" spans="2:8" ht="29.25" customHeight="1" x14ac:dyDescent="0.3">
      <c r="B61" s="86">
        <v>1</v>
      </c>
      <c r="C61" s="132" t="s">
        <v>215</v>
      </c>
      <c r="D61" s="132"/>
      <c r="E61" s="132"/>
      <c r="F61" s="132"/>
      <c r="H61"/>
    </row>
    <row r="62" spans="2:8" ht="18" x14ac:dyDescent="0.3">
      <c r="B62" s="86">
        <v>2</v>
      </c>
      <c r="C62" s="21" t="s">
        <v>216</v>
      </c>
      <c r="H62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ZfXxCBaYJPcg+1S7o7uUCR5e+MmjHDrrjVGoKNHU5dtk52ZYEtN/R61jmKCScr7p2fKTgKk5Jxj26eR0V2l+oQ==" saltValue="5j6JSe7avO72aLNU4iWQ+A==" spinCount="100000" sheet="1" objects="1" scenarios="1" formatColumns="0" formatRows="0"/>
  <mergeCells count="11"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</mergeCells>
  <conditionalFormatting sqref="F52">
    <cfRule type="expression" dxfId="3" priority="4">
      <formula>$F$55&gt;0</formula>
    </cfRule>
  </conditionalFormatting>
  <conditionalFormatting sqref="F55">
    <cfRule type="expression" dxfId="2" priority="3">
      <formula>$F$52&gt;0</formula>
    </cfRule>
  </conditionalFormatting>
  <dataValidations count="4">
    <dataValidation type="whole" operator="greaterThanOrEqual" allowBlank="1" showInputMessage="1" showErrorMessage="1" sqref="F24:F26 F14:F16 F31:F33 F44 F18 F37:F40">
      <formula1>0</formula1>
    </dataValidation>
    <dataValidation type="custom" operator="greaterThanOrEqual" showErrorMessage="1" errorTitle="ERROR" error="There are dollars listed in the Unexpended field or you have entered an invalid amount (&lt;0). " promptTitle="Previous Dollars" prompt="Enter a dollar amount for EITHER Unexpended or Insufficient. It is not possible to have dollars in both." sqref="F55">
      <formula1>OR(AND(ISNUMBER(F55),F52=0,F55&gt;=0),F55=0)</formula1>
    </dataValidation>
    <dataValidation type="custom" operator="greaterThanOrEqual" showErrorMessage="1" errorTitle="ERROR" error="There are dollars listed in the Insufficient field or you have entered an invalid amount (&lt;0)." promptTitle="Previous Dollars" prompt="Enter a dollar amount for EITHER Unexpended or Insufficient. It is not possible to have dollars in both." sqref="F52">
      <formula1>OR(AND(UnExpendedAmount&gt;=0,ISNUMBER(UnExpendedAmount),OR(ISBLANK(F55),F55=0)),F52=0)</formula1>
    </dataValidation>
    <dataValidation type="whole" operator="greaterThanOrEqual" allowBlank="1" showInputMessage="1" showErrorMessage="1" errorTitle="ERROR" error="Must be a positive whole number." sqref="F9">
      <formula1>0</formula1>
    </dataValidation>
  </dataValidations>
  <printOptions horizontalCentered="1" verticalCentered="1"/>
  <pageMargins left="0.25" right="0.25" top="0.5" bottom="0.5" header="0.25" footer="0.25"/>
  <pageSetup scale="57" orientation="portrait" r:id="rId1"/>
  <headerFooter>
    <oddFooter>&amp;L&amp;"+,Regular"&amp;8&amp;K03+000Page &amp;P of &amp;N&amp;C&amp;"+,Regular"&amp;8&amp;K03+000Printed: &amp;D &amp;T&amp;R&amp;"+,Regular"&amp;8&amp;K03+000&amp;F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BasicLookupData!$F$2:$F$16</xm:f>
          </x14:formula1>
          <xm:sqref>F5</xm:sqref>
        </x14:dataValidation>
        <x14:dataValidation type="list" allowBlank="1" showInputMessage="1" showErrorMessage="1">
          <x14:formula1>
            <xm:f>BasicLookupData!$H$2:$H$5</xm:f>
          </x14:formula1>
          <xm:sqref>F4</xm:sqref>
        </x14:dataValidation>
        <x14:dataValidation type="list" allowBlank="1" showInputMessage="1" showErrorMessage="1">
          <x14:formula1>
            <xm:f>BasicLookupData!$D$2:$D$68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3"/>
  <sheetViews>
    <sheetView showGridLines="0" view="pageBreakPreview" topLeftCell="A6" zoomScale="70" zoomScaleNormal="90" zoomScaleSheetLayoutView="70" workbookViewId="0">
      <selection activeCell="E18" sqref="E18"/>
    </sheetView>
  </sheetViews>
  <sheetFormatPr defaultColWidth="8.88671875" defaultRowHeight="15.75" x14ac:dyDescent="0.3"/>
  <cols>
    <col min="1" max="1" width="4.21875" style="1" customWidth="1"/>
    <col min="2" max="2" width="7.21875" style="1" customWidth="1"/>
    <col min="3" max="3" width="8.5546875" style="1" customWidth="1"/>
    <col min="4" max="4" width="44.33203125" style="1" customWidth="1"/>
    <col min="5" max="5" width="15.88671875" style="1" customWidth="1"/>
    <col min="6" max="6" width="23.6640625" style="1" customWidth="1"/>
    <col min="7" max="7" width="5.5546875" style="1" customWidth="1"/>
    <col min="8" max="16384" width="8.88671875" style="1"/>
  </cols>
  <sheetData>
    <row r="1" spans="1:12" ht="24" x14ac:dyDescent="0.3">
      <c r="A1" s="81" t="s">
        <v>196</v>
      </c>
      <c r="C1" s="78"/>
      <c r="D1" s="78"/>
      <c r="E1" s="78"/>
    </row>
    <row r="2" spans="1:12" ht="16.5" x14ac:dyDescent="0.3">
      <c r="A2" s="134" t="str">
        <f>Estimate!A2</f>
        <v xml:space="preserve"> Form # 1</v>
      </c>
      <c r="B2" s="134"/>
      <c r="C2" s="134"/>
      <c r="D2" s="79"/>
      <c r="E2" s="80"/>
      <c r="G2" s="14"/>
      <c r="H2" s="14"/>
      <c r="I2" s="14"/>
      <c r="J2" s="14"/>
      <c r="K2" s="14"/>
      <c r="L2" s="14"/>
    </row>
    <row r="3" spans="1:12" ht="35.25" customHeight="1" x14ac:dyDescent="0.3">
      <c r="A3" s="141" t="str">
        <f>Estimate!A3</f>
        <v xml:space="preserve"> SFY 18/19: Q1 Jul - Aug - Sep
 CFY 17/18: Q4 Jul - Aug - Sep</v>
      </c>
      <c r="B3" s="141"/>
      <c r="C3" s="141"/>
      <c r="D3" s="141"/>
      <c r="E3" s="80"/>
      <c r="F3" s="76"/>
      <c r="G3" s="14"/>
      <c r="H3" s="14"/>
      <c r="I3" s="14"/>
      <c r="J3" s="14"/>
      <c r="K3" s="14"/>
      <c r="L3" s="14"/>
    </row>
    <row r="4" spans="1:12" ht="31.5" customHeight="1" x14ac:dyDescent="0.3">
      <c r="B4" s="75"/>
      <c r="C4" s="76"/>
      <c r="D4" s="76"/>
      <c r="E4" s="77"/>
      <c r="F4" s="140" t="str">
        <f>Estimate!H4</f>
        <v>CCOC Form Version 5
Created 05/11/18</v>
      </c>
      <c r="G4" s="140"/>
      <c r="H4" s="14"/>
      <c r="I4" s="14"/>
      <c r="J4" s="14"/>
      <c r="K4" s="14"/>
      <c r="L4" s="14"/>
    </row>
    <row r="5" spans="1:12" ht="24" customHeight="1" x14ac:dyDescent="0.3">
      <c r="C5" s="14"/>
      <c r="D5" s="14"/>
      <c r="E5" s="15"/>
      <c r="F5" s="14"/>
      <c r="G5" s="14"/>
      <c r="H5" s="14"/>
      <c r="I5" s="14"/>
      <c r="J5" s="14"/>
      <c r="K5" s="14"/>
    </row>
    <row r="6" spans="1:12" ht="21" customHeight="1" x14ac:dyDescent="0.3">
      <c r="C6" s="16" t="s">
        <v>101</v>
      </c>
      <c r="D6" s="59" t="str">
        <f>IF(ISBLANK(Estimate!D4),"",Estimate!D4)</f>
        <v/>
      </c>
      <c r="E6" s="16" t="s">
        <v>190</v>
      </c>
      <c r="F6" s="59" t="str">
        <f>Estimate!F4</f>
        <v>Jul - Aug - Sep</v>
      </c>
    </row>
    <row r="7" spans="1:12" ht="22.5" customHeight="1" x14ac:dyDescent="0.3"/>
    <row r="8" spans="1:12" ht="16.5" x14ac:dyDescent="0.3">
      <c r="A8" s="139" t="s">
        <v>205</v>
      </c>
      <c r="B8" s="139"/>
      <c r="C8" s="139"/>
      <c r="D8" s="143" t="s">
        <v>213</v>
      </c>
      <c r="E8" s="143"/>
      <c r="F8" s="143"/>
    </row>
    <row r="9" spans="1:12" ht="16.5" x14ac:dyDescent="0.3">
      <c r="C9" s="60"/>
      <c r="D9" s="60"/>
    </row>
    <row r="10" spans="1:12" ht="16.5" x14ac:dyDescent="0.3">
      <c r="B10" s="1" t="s">
        <v>200</v>
      </c>
      <c r="C10" s="60"/>
      <c r="D10" s="61" t="str">
        <f>"Estimating Quarter "&amp;F6&amp;":"</f>
        <v>Estimating Quarter Jul - Aug - Sep:</v>
      </c>
      <c r="E10" s="22"/>
      <c r="F10" s="72">
        <f>Estimate!F48</f>
        <v>0</v>
      </c>
    </row>
    <row r="11" spans="1:12" ht="16.5" x14ac:dyDescent="0.3">
      <c r="C11" s="60"/>
      <c r="D11" s="61"/>
      <c r="E11" s="22"/>
      <c r="F11" s="22"/>
    </row>
    <row r="12" spans="1:12" ht="16.5" x14ac:dyDescent="0.3">
      <c r="C12" s="60"/>
      <c r="D12" s="61" t="str">
        <f>"JAC Disbursement from prior Quarter ("&amp;INDEX(BasicLookupData!K2:K5,MATCH(EstimatingTool!F6,BasicLookupData!H2:H5,0))&amp;"):"</f>
        <v>JAC Disbursement from prior Quarter (Apr - May - Jun):</v>
      </c>
      <c r="E12" s="22"/>
      <c r="F12" s="72">
        <f>IFERROR(INDEX('JAC Lookup'!F5:F71,MATCH(EstimatingTool!D6,'JAC Lookup'!A5:A71,0)),0)</f>
        <v>0</v>
      </c>
    </row>
    <row r="13" spans="1:12" ht="40.5" customHeight="1" x14ac:dyDescent="0.3">
      <c r="C13" s="60"/>
      <c r="D13" s="91" t="s">
        <v>232</v>
      </c>
      <c r="E13" s="142">
        <f>IFERROR(INDEX(PriorEstimateData!J4:J70,MATCH(EstimatingTool!D6,PriorEstimateData!A4:A70,0)),0)</f>
        <v>0</v>
      </c>
      <c r="F13" s="22" t="s">
        <v>200</v>
      </c>
    </row>
    <row r="14" spans="1:12" ht="102.75" customHeight="1" x14ac:dyDescent="0.3">
      <c r="C14" s="60"/>
      <c r="D14" s="90" t="s">
        <v>231</v>
      </c>
      <c r="E14" s="142"/>
      <c r="F14" s="22"/>
    </row>
    <row r="15" spans="1:12" ht="53.25" customHeight="1" x14ac:dyDescent="0.3">
      <c r="C15" s="60"/>
      <c r="D15" s="88" t="str">
        <f>"Adjusted JAC Disbursement from "&amp;INDEX(BasicLookupData!K2:K5,MATCH(EstimatingTool!F6,BasicLookupData!H2:H5,0))&amp;" Quarter with or without Excess from Previous Quarter(s):"</f>
        <v>Adjusted JAC Disbursement from Apr - May - Jun Quarter with or without Excess from Previous Quarter(s):</v>
      </c>
      <c r="E15" s="22"/>
      <c r="F15" s="72">
        <f>F12+E13</f>
        <v>0</v>
      </c>
    </row>
    <row r="16" spans="1:12" ht="16.5" x14ac:dyDescent="0.3">
      <c r="C16" s="60"/>
      <c r="D16" s="61"/>
      <c r="E16" s="22"/>
      <c r="F16" s="22"/>
    </row>
    <row r="17" spans="2:6" ht="16.5" x14ac:dyDescent="0.3">
      <c r="C17" s="60"/>
      <c r="D17" s="89" t="s">
        <v>241</v>
      </c>
      <c r="E17" s="22"/>
      <c r="F17" s="22"/>
    </row>
    <row r="18" spans="2:6" ht="16.5" x14ac:dyDescent="0.3">
      <c r="C18" s="60"/>
      <c r="D18" s="61" t="str">
        <f>INDEX(BasicLookupData!L2:L5,MATCH(EstimatingTool!F6,BasicLookupData!H2:H5,0))</f>
        <v>April Actual Expenditures</v>
      </c>
      <c r="E18" s="131"/>
      <c r="F18" s="22"/>
    </row>
    <row r="19" spans="2:6" ht="16.5" x14ac:dyDescent="0.3">
      <c r="C19" s="60"/>
      <c r="D19" s="61" t="str">
        <f>INDEX(BasicLookupData!M2:M5,MATCH(EstimatingTool!F6,BasicLookupData!H2:H5,0))</f>
        <v>Estimated May + Estimated June Actual Expenditures</v>
      </c>
      <c r="E19" s="131"/>
      <c r="F19" s="22"/>
    </row>
    <row r="20" spans="2:6" ht="17.25" thickBot="1" x14ac:dyDescent="0.35">
      <c r="C20" s="60"/>
      <c r="D20" s="89" t="s">
        <v>212</v>
      </c>
      <c r="E20" s="22"/>
      <c r="F20" s="73">
        <f>SUM(E18:E19)</f>
        <v>0</v>
      </c>
    </row>
    <row r="21" spans="2:6" ht="17.25" thickTop="1" x14ac:dyDescent="0.3">
      <c r="C21" s="60"/>
      <c r="D21" s="139" t="s">
        <v>206</v>
      </c>
      <c r="E21" s="139"/>
      <c r="F21" s="74">
        <f>F15-F20</f>
        <v>0</v>
      </c>
    </row>
    <row r="22" spans="2:6" ht="16.5" x14ac:dyDescent="0.3">
      <c r="C22" s="60"/>
      <c r="D22" s="70"/>
      <c r="E22" s="70"/>
      <c r="F22" s="62"/>
    </row>
    <row r="23" spans="2:6" x14ac:dyDescent="0.3">
      <c r="B23"/>
      <c r="C23"/>
      <c r="D23"/>
      <c r="E23"/>
      <c r="F23"/>
    </row>
    <row r="24" spans="2:6" x14ac:dyDescent="0.3">
      <c r="B24"/>
      <c r="C24"/>
      <c r="D24"/>
      <c r="E24"/>
      <c r="F24"/>
    </row>
    <row r="25" spans="2:6" x14ac:dyDescent="0.3">
      <c r="B25"/>
      <c r="C25"/>
      <c r="D25"/>
      <c r="E25"/>
      <c r="F25"/>
    </row>
    <row r="26" spans="2:6" x14ac:dyDescent="0.3">
      <c r="B26"/>
      <c r="C26"/>
      <c r="D26"/>
      <c r="E26"/>
      <c r="F26"/>
    </row>
    <row r="27" spans="2:6" x14ac:dyDescent="0.3">
      <c r="B27"/>
      <c r="C27"/>
      <c r="D27"/>
      <c r="E27"/>
      <c r="F27"/>
    </row>
    <row r="28" spans="2:6" x14ac:dyDescent="0.3">
      <c r="B28"/>
      <c r="C28"/>
      <c r="D28"/>
      <c r="E28"/>
      <c r="F28"/>
    </row>
    <row r="29" spans="2:6" x14ac:dyDescent="0.3">
      <c r="B29"/>
      <c r="C29"/>
      <c r="D29"/>
      <c r="E29"/>
      <c r="F29"/>
    </row>
    <row r="30" spans="2:6" x14ac:dyDescent="0.3">
      <c r="B30"/>
      <c r="C30"/>
      <c r="D30"/>
      <c r="E30"/>
      <c r="F30"/>
    </row>
    <row r="31" spans="2:6" x14ac:dyDescent="0.3">
      <c r="B31"/>
      <c r="C31"/>
      <c r="D31"/>
      <c r="E31"/>
      <c r="F31"/>
    </row>
    <row r="33" spans="3:3" x14ac:dyDescent="0.3">
      <c r="C33" s="21"/>
    </row>
  </sheetData>
  <sheetProtection algorithmName="SHA-512" hashValue="SFdDeyiZZyWJtTNDCL3OIkE91a2YmsMFJagsplrgNWhpU2MqXdMtSr4WAZa4AOb9vn8rh7b+oB48uPFShFhVMQ==" saltValue="4iUObRjSBzF9GtPkbollKQ==" spinCount="100000" sheet="1" objects="1" scenarios="1"/>
  <mergeCells count="7">
    <mergeCell ref="D21:E21"/>
    <mergeCell ref="F4:G4"/>
    <mergeCell ref="A2:C2"/>
    <mergeCell ref="A3:D3"/>
    <mergeCell ref="E13:E14"/>
    <mergeCell ref="D8:F8"/>
    <mergeCell ref="A8:C8"/>
  </mergeCells>
  <pageMargins left="0.25" right="0.25" top="0.5" bottom="0.5" header="0.25" footer="0.25"/>
  <pageSetup scale="81" orientation="portrait" r:id="rId1"/>
  <headerFooter>
    <oddFooter>&amp;L&amp;"+,Regular"&amp;8&amp;K03+000Page &amp;P of &amp;N&amp;C&amp;"+,Regular"&amp;8&amp;K03+000Printed: &amp;D &amp;T&amp;R&amp;"+,Regular"&amp;8&amp;K03+000&amp;F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BasicLookupData!$H$2:$H$5</xm:f>
          </x14:formula1>
          <xm:sqref>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W72"/>
  <sheetViews>
    <sheetView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63" sqref="B63"/>
    </sheetView>
  </sheetViews>
  <sheetFormatPr defaultRowHeight="15.75" x14ac:dyDescent="0.3"/>
  <cols>
    <col min="1" max="1" width="11.77734375" style="66" customWidth="1"/>
    <col min="2" max="2" width="23.109375" style="65" customWidth="1"/>
    <col min="3" max="3" width="21.33203125" style="65" customWidth="1"/>
    <col min="4" max="4" width="20.6640625" style="65" customWidth="1"/>
    <col min="5" max="5" width="20.109375" style="65" customWidth="1"/>
    <col min="6" max="6" width="17.21875" style="65" customWidth="1"/>
    <col min="7" max="7" width="16.109375" style="65" customWidth="1"/>
    <col min="8" max="16384" width="8.88671875" style="65"/>
  </cols>
  <sheetData>
    <row r="1" spans="1:699" x14ac:dyDescent="0.3">
      <c r="A1" s="92" t="s">
        <v>207</v>
      </c>
      <c r="B1" s="75"/>
      <c r="C1" s="75"/>
      <c r="D1" s="75"/>
      <c r="E1" s="75"/>
      <c r="F1" s="75"/>
    </row>
    <row r="2" spans="1:699" ht="16.5" thickBot="1" x14ac:dyDescent="0.35">
      <c r="A2" s="93"/>
      <c r="B2" s="75"/>
      <c r="C2" s="75"/>
      <c r="D2" s="75"/>
      <c r="E2" s="75"/>
      <c r="F2" s="75"/>
    </row>
    <row r="3" spans="1:699" ht="38.25" customHeight="1" x14ac:dyDescent="0.3">
      <c r="A3" s="94" t="s">
        <v>208</v>
      </c>
      <c r="B3" s="95" t="s">
        <v>211</v>
      </c>
      <c r="C3" s="95" t="s">
        <v>242</v>
      </c>
      <c r="D3" s="95" t="s">
        <v>243</v>
      </c>
      <c r="E3" s="95" t="s">
        <v>244</v>
      </c>
      <c r="F3" s="96" t="str">
        <f>EstimatingTool!F6</f>
        <v>Jul - Aug - Sep</v>
      </c>
    </row>
    <row r="4" spans="1:699" ht="54" customHeight="1" x14ac:dyDescent="0.3">
      <c r="A4" s="97" t="s">
        <v>209</v>
      </c>
      <c r="B4" s="98" t="s">
        <v>245</v>
      </c>
      <c r="C4" s="98" t="s">
        <v>246</v>
      </c>
      <c r="D4" s="98" t="s">
        <v>246</v>
      </c>
      <c r="E4" s="98" t="s">
        <v>246</v>
      </c>
      <c r="F4" s="99" t="s">
        <v>247</v>
      </c>
    </row>
    <row r="5" spans="1:699" x14ac:dyDescent="0.3">
      <c r="A5" s="100" t="s">
        <v>16</v>
      </c>
      <c r="B5" s="101">
        <v>75094.14</v>
      </c>
      <c r="C5" s="107"/>
      <c r="D5" s="107"/>
      <c r="E5" s="107"/>
      <c r="F5" s="102">
        <f>IF(F$3="Jul - Aug - Sep",B5,IF(F$3="Oct - Nov - Dec",C5,IF(F$3="Jan - Feb - Mar",D5,E5)))</f>
        <v>75094.14</v>
      </c>
      <c r="G5" s="67"/>
    </row>
    <row r="6" spans="1:699" x14ac:dyDescent="0.3">
      <c r="A6" s="100" t="s">
        <v>17</v>
      </c>
      <c r="B6" s="101">
        <v>10053.879999999999</v>
      </c>
      <c r="C6" s="107"/>
      <c r="D6" s="107"/>
      <c r="E6" s="107"/>
      <c r="F6" s="102">
        <f t="shared" ref="F6:F69" si="0">IF(F$3="Jul - Aug - Sep",B6,IF(F$3="Oct - Nov - Dec",C6,IF(F$3="Jan - Feb - Mar",D6,E6)))</f>
        <v>10053.879999999999</v>
      </c>
      <c r="G6" s="67"/>
    </row>
    <row r="7" spans="1:699" x14ac:dyDescent="0.3">
      <c r="A7" s="100" t="s">
        <v>18</v>
      </c>
      <c r="B7" s="101">
        <v>49090.55</v>
      </c>
      <c r="C7" s="107"/>
      <c r="D7" s="107"/>
      <c r="E7" s="107"/>
      <c r="F7" s="102">
        <f t="shared" si="0"/>
        <v>49090.55</v>
      </c>
    </row>
    <row r="8" spans="1:699" x14ac:dyDescent="0.3">
      <c r="A8" s="100" t="s">
        <v>81</v>
      </c>
      <c r="B8" s="101">
        <v>0</v>
      </c>
      <c r="C8" s="107"/>
      <c r="D8" s="107"/>
      <c r="E8" s="107"/>
      <c r="F8" s="102">
        <f t="shared" si="0"/>
        <v>0</v>
      </c>
    </row>
    <row r="9" spans="1:699" x14ac:dyDescent="0.3">
      <c r="A9" s="100" t="s">
        <v>19</v>
      </c>
      <c r="B9" s="101">
        <v>117658.73</v>
      </c>
      <c r="C9" s="107"/>
      <c r="D9" s="107"/>
      <c r="E9" s="107"/>
      <c r="F9" s="102">
        <f t="shared" si="0"/>
        <v>117658.73</v>
      </c>
    </row>
    <row r="10" spans="1:699" x14ac:dyDescent="0.3">
      <c r="A10" s="100" t="s">
        <v>20</v>
      </c>
      <c r="B10" s="101">
        <v>222031.6</v>
      </c>
      <c r="C10" s="107"/>
      <c r="D10" s="107"/>
      <c r="E10" s="107"/>
      <c r="F10" s="102">
        <f t="shared" si="0"/>
        <v>222031.6</v>
      </c>
    </row>
    <row r="11" spans="1:699" x14ac:dyDescent="0.3">
      <c r="A11" s="100" t="s">
        <v>21</v>
      </c>
      <c r="B11" s="101">
        <v>4466.43</v>
      </c>
      <c r="C11" s="107"/>
      <c r="D11" s="107"/>
      <c r="E11" s="107"/>
      <c r="F11" s="102">
        <f t="shared" si="0"/>
        <v>4466.43</v>
      </c>
    </row>
    <row r="12" spans="1:699" x14ac:dyDescent="0.3">
      <c r="A12" s="100" t="s">
        <v>22</v>
      </c>
      <c r="B12" s="101">
        <v>38821.760000000002</v>
      </c>
      <c r="C12" s="107"/>
      <c r="D12" s="107"/>
      <c r="E12" s="107"/>
      <c r="F12" s="102">
        <f t="shared" si="0"/>
        <v>38821.760000000002</v>
      </c>
    </row>
    <row r="13" spans="1:699" x14ac:dyDescent="0.3">
      <c r="A13" s="100" t="s">
        <v>23</v>
      </c>
      <c r="B13" s="101">
        <v>23425.75</v>
      </c>
      <c r="C13" s="107"/>
      <c r="D13" s="107"/>
      <c r="E13" s="107"/>
      <c r="F13" s="102">
        <f t="shared" si="0"/>
        <v>23425.75</v>
      </c>
    </row>
    <row r="14" spans="1:699" x14ac:dyDescent="0.3">
      <c r="A14" s="100" t="s">
        <v>24</v>
      </c>
      <c r="B14" s="101">
        <v>16263.83</v>
      </c>
      <c r="C14" s="107"/>
      <c r="D14" s="107"/>
      <c r="E14" s="107"/>
      <c r="F14" s="102">
        <f t="shared" si="0"/>
        <v>16263.83</v>
      </c>
    </row>
    <row r="15" spans="1:699" x14ac:dyDescent="0.3">
      <c r="A15" s="100" t="s">
        <v>25</v>
      </c>
      <c r="B15" s="101">
        <v>68991.42</v>
      </c>
      <c r="C15" s="107"/>
      <c r="D15" s="107"/>
      <c r="E15" s="107"/>
      <c r="F15" s="102">
        <f t="shared" si="0"/>
        <v>68991.42</v>
      </c>
    </row>
    <row r="16" spans="1:699" x14ac:dyDescent="0.3">
      <c r="A16" s="100" t="s">
        <v>26</v>
      </c>
      <c r="B16" s="101">
        <v>14517.01</v>
      </c>
      <c r="C16" s="107"/>
      <c r="D16" s="107"/>
      <c r="E16" s="107"/>
      <c r="F16" s="102">
        <f t="shared" si="0"/>
        <v>14517.01</v>
      </c>
      <c r="ZW16" s="68">
        <v>1</v>
      </c>
    </row>
    <row r="17" spans="1:6" x14ac:dyDescent="0.3">
      <c r="A17" s="100" t="s">
        <v>198</v>
      </c>
      <c r="B17" s="101">
        <v>9953.64</v>
      </c>
      <c r="C17" s="107"/>
      <c r="D17" s="107"/>
      <c r="E17" s="107"/>
      <c r="F17" s="102">
        <f t="shared" si="0"/>
        <v>9953.64</v>
      </c>
    </row>
    <row r="18" spans="1:6" x14ac:dyDescent="0.3">
      <c r="A18" s="100" t="s">
        <v>28</v>
      </c>
      <c r="B18" s="101">
        <v>0</v>
      </c>
      <c r="C18" s="107"/>
      <c r="D18" s="107"/>
      <c r="E18" s="107"/>
      <c r="F18" s="102">
        <f t="shared" si="0"/>
        <v>0</v>
      </c>
    </row>
    <row r="19" spans="1:6" x14ac:dyDescent="0.3">
      <c r="A19" s="100" t="s">
        <v>29</v>
      </c>
      <c r="B19" s="101">
        <v>146237.01</v>
      </c>
      <c r="C19" s="107"/>
      <c r="D19" s="107"/>
      <c r="E19" s="107"/>
      <c r="F19" s="102">
        <f t="shared" si="0"/>
        <v>146237.01</v>
      </c>
    </row>
    <row r="20" spans="1:6" x14ac:dyDescent="0.3">
      <c r="A20" s="100" t="s">
        <v>30</v>
      </c>
      <c r="B20" s="101">
        <v>79135.3</v>
      </c>
      <c r="C20" s="107"/>
      <c r="D20" s="107"/>
      <c r="E20" s="107"/>
      <c r="F20" s="102">
        <f t="shared" si="0"/>
        <v>79135.3</v>
      </c>
    </row>
    <row r="21" spans="1:6" x14ac:dyDescent="0.3">
      <c r="A21" s="100" t="s">
        <v>31</v>
      </c>
      <c r="B21" s="101">
        <v>12062.59</v>
      </c>
      <c r="C21" s="107"/>
      <c r="D21" s="107"/>
      <c r="E21" s="107"/>
      <c r="F21" s="102">
        <f t="shared" si="0"/>
        <v>12062.59</v>
      </c>
    </row>
    <row r="22" spans="1:6" x14ac:dyDescent="0.3">
      <c r="A22" s="100" t="s">
        <v>32</v>
      </c>
      <c r="B22" s="101">
        <v>3797.25</v>
      </c>
      <c r="C22" s="107"/>
      <c r="D22" s="107"/>
      <c r="E22" s="107"/>
      <c r="F22" s="102">
        <f t="shared" si="0"/>
        <v>3797.25</v>
      </c>
    </row>
    <row r="23" spans="1:6" x14ac:dyDescent="0.3">
      <c r="A23" s="100" t="s">
        <v>33</v>
      </c>
      <c r="B23" s="101">
        <v>11705.59</v>
      </c>
      <c r="C23" s="107"/>
      <c r="D23" s="107"/>
      <c r="E23" s="107"/>
      <c r="F23" s="102">
        <f t="shared" si="0"/>
        <v>11705.59</v>
      </c>
    </row>
    <row r="24" spans="1:6" x14ac:dyDescent="0.3">
      <c r="A24" s="100" t="s">
        <v>34</v>
      </c>
      <c r="B24" s="101">
        <v>0</v>
      </c>
      <c r="C24" s="107"/>
      <c r="D24" s="107"/>
      <c r="E24" s="107"/>
      <c r="F24" s="102">
        <f t="shared" si="0"/>
        <v>0</v>
      </c>
    </row>
    <row r="25" spans="1:6" x14ac:dyDescent="0.3">
      <c r="A25" s="100" t="s">
        <v>35</v>
      </c>
      <c r="B25" s="101">
        <v>4644.3500000000004</v>
      </c>
      <c r="C25" s="107"/>
      <c r="D25" s="107"/>
      <c r="E25" s="107"/>
      <c r="F25" s="102">
        <f t="shared" si="0"/>
        <v>4644.3500000000004</v>
      </c>
    </row>
    <row r="26" spans="1:6" x14ac:dyDescent="0.3">
      <c r="A26" s="100" t="s">
        <v>36</v>
      </c>
      <c r="B26" s="101">
        <v>6161.54</v>
      </c>
      <c r="C26" s="107"/>
      <c r="D26" s="107"/>
      <c r="E26" s="107"/>
      <c r="F26" s="102">
        <f t="shared" si="0"/>
        <v>6161.54</v>
      </c>
    </row>
    <row r="27" spans="1:6" x14ac:dyDescent="0.3">
      <c r="A27" s="100" t="s">
        <v>37</v>
      </c>
      <c r="B27" s="101">
        <v>5346.58</v>
      </c>
      <c r="C27" s="107"/>
      <c r="D27" s="107"/>
      <c r="E27" s="107"/>
      <c r="F27" s="102">
        <f t="shared" si="0"/>
        <v>5346.58</v>
      </c>
    </row>
    <row r="28" spans="1:6" x14ac:dyDescent="0.3">
      <c r="A28" s="100" t="s">
        <v>38</v>
      </c>
      <c r="B28" s="101">
        <v>15167.11</v>
      </c>
      <c r="C28" s="107"/>
      <c r="D28" s="107"/>
      <c r="E28" s="107"/>
      <c r="F28" s="102">
        <f t="shared" si="0"/>
        <v>15167.11</v>
      </c>
    </row>
    <row r="29" spans="1:6" x14ac:dyDescent="0.3">
      <c r="A29" s="100" t="s">
        <v>39</v>
      </c>
      <c r="B29" s="101">
        <v>22301.41</v>
      </c>
      <c r="C29" s="107"/>
      <c r="D29" s="107"/>
      <c r="E29" s="107"/>
      <c r="F29" s="102">
        <f t="shared" si="0"/>
        <v>22301.41</v>
      </c>
    </row>
    <row r="30" spans="1:6" x14ac:dyDescent="0.3">
      <c r="A30" s="100" t="s">
        <v>40</v>
      </c>
      <c r="B30" s="101">
        <v>48501.9</v>
      </c>
      <c r="C30" s="107"/>
      <c r="D30" s="107"/>
      <c r="E30" s="107"/>
      <c r="F30" s="102">
        <f t="shared" si="0"/>
        <v>48501.9</v>
      </c>
    </row>
    <row r="31" spans="1:6" x14ac:dyDescent="0.3">
      <c r="A31" s="100" t="s">
        <v>41</v>
      </c>
      <c r="B31" s="101">
        <v>14430.76</v>
      </c>
      <c r="C31" s="107"/>
      <c r="D31" s="107"/>
      <c r="E31" s="107"/>
      <c r="F31" s="102">
        <f t="shared" si="0"/>
        <v>14430.76</v>
      </c>
    </row>
    <row r="32" spans="1:6" x14ac:dyDescent="0.3">
      <c r="A32" s="100" t="s">
        <v>42</v>
      </c>
      <c r="B32" s="101">
        <v>110023.21</v>
      </c>
      <c r="C32" s="107"/>
      <c r="D32" s="107"/>
      <c r="E32" s="107"/>
      <c r="F32" s="102">
        <f t="shared" si="0"/>
        <v>110023.21</v>
      </c>
    </row>
    <row r="33" spans="1:6" x14ac:dyDescent="0.3">
      <c r="A33" s="100" t="s">
        <v>43</v>
      </c>
      <c r="B33" s="101">
        <v>3328.27</v>
      </c>
      <c r="C33" s="107"/>
      <c r="D33" s="107"/>
      <c r="E33" s="107"/>
      <c r="F33" s="102">
        <f t="shared" si="0"/>
        <v>3328.27</v>
      </c>
    </row>
    <row r="34" spans="1:6" x14ac:dyDescent="0.3">
      <c r="A34" s="100" t="s">
        <v>44</v>
      </c>
      <c r="B34" s="101">
        <v>40754.68</v>
      </c>
      <c r="C34" s="107"/>
      <c r="D34" s="107"/>
      <c r="E34" s="107"/>
      <c r="F34" s="102">
        <f t="shared" si="0"/>
        <v>40754.68</v>
      </c>
    </row>
    <row r="35" spans="1:6" x14ac:dyDescent="0.3">
      <c r="A35" s="100" t="s">
        <v>45</v>
      </c>
      <c r="B35" s="101">
        <v>10556.74</v>
      </c>
      <c r="C35" s="107"/>
      <c r="D35" s="107"/>
      <c r="E35" s="107"/>
      <c r="F35" s="102">
        <f t="shared" si="0"/>
        <v>10556.74</v>
      </c>
    </row>
    <row r="36" spans="1:6" x14ac:dyDescent="0.3">
      <c r="A36" s="100" t="s">
        <v>46</v>
      </c>
      <c r="B36" s="101">
        <v>16442.189999999999</v>
      </c>
      <c r="C36" s="107"/>
      <c r="D36" s="107"/>
      <c r="E36" s="107"/>
      <c r="F36" s="102">
        <f t="shared" si="0"/>
        <v>16442.189999999999</v>
      </c>
    </row>
    <row r="37" spans="1:6" x14ac:dyDescent="0.3">
      <c r="A37" s="100" t="s">
        <v>47</v>
      </c>
      <c r="B37" s="101">
        <v>4103.55</v>
      </c>
      <c r="C37" s="107"/>
      <c r="D37" s="107"/>
      <c r="E37" s="107"/>
      <c r="F37" s="102">
        <f t="shared" si="0"/>
        <v>4103.55</v>
      </c>
    </row>
    <row r="38" spans="1:6" x14ac:dyDescent="0.3">
      <c r="A38" s="100" t="s">
        <v>48</v>
      </c>
      <c r="B38" s="101">
        <v>52416.32</v>
      </c>
      <c r="C38" s="107"/>
      <c r="D38" s="107"/>
      <c r="E38" s="107"/>
      <c r="F38" s="102">
        <f t="shared" si="0"/>
        <v>52416.32</v>
      </c>
    </row>
    <row r="39" spans="1:6" x14ac:dyDescent="0.3">
      <c r="A39" s="100" t="s">
        <v>49</v>
      </c>
      <c r="B39" s="101">
        <v>56381.46</v>
      </c>
      <c r="C39" s="107"/>
      <c r="D39" s="107"/>
      <c r="E39" s="107"/>
      <c r="F39" s="102">
        <f t="shared" si="0"/>
        <v>56381.46</v>
      </c>
    </row>
    <row r="40" spans="1:6" x14ac:dyDescent="0.3">
      <c r="A40" s="100" t="s">
        <v>50</v>
      </c>
      <c r="B40" s="101">
        <v>82942.5</v>
      </c>
      <c r="C40" s="107"/>
      <c r="D40" s="107"/>
      <c r="E40" s="107"/>
      <c r="F40" s="102">
        <f t="shared" si="0"/>
        <v>82942.5</v>
      </c>
    </row>
    <row r="41" spans="1:6" x14ac:dyDescent="0.3">
      <c r="A41" s="100" t="s">
        <v>51</v>
      </c>
      <c r="B41" s="101">
        <v>8491.4500000000007</v>
      </c>
      <c r="C41" s="107"/>
      <c r="D41" s="107"/>
      <c r="E41" s="107"/>
      <c r="F41" s="102">
        <f t="shared" si="0"/>
        <v>8491.4500000000007</v>
      </c>
    </row>
    <row r="42" spans="1:6" x14ac:dyDescent="0.3">
      <c r="A42" s="100" t="s">
        <v>52</v>
      </c>
      <c r="B42" s="101">
        <v>5538.32</v>
      </c>
      <c r="C42" s="107"/>
      <c r="D42" s="107"/>
      <c r="E42" s="107"/>
      <c r="F42" s="102">
        <f t="shared" si="0"/>
        <v>5538.32</v>
      </c>
    </row>
    <row r="43" spans="1:6" x14ac:dyDescent="0.3">
      <c r="A43" s="100" t="s">
        <v>53</v>
      </c>
      <c r="B43" s="101">
        <v>5128.03</v>
      </c>
      <c r="C43" s="107"/>
      <c r="D43" s="107"/>
      <c r="E43" s="107"/>
      <c r="F43" s="102">
        <f t="shared" si="0"/>
        <v>5128.03</v>
      </c>
    </row>
    <row r="44" spans="1:6" x14ac:dyDescent="0.3">
      <c r="A44" s="100" t="s">
        <v>54</v>
      </c>
      <c r="B44" s="101">
        <v>34155.9</v>
      </c>
      <c r="C44" s="107"/>
      <c r="D44" s="107"/>
      <c r="E44" s="107"/>
      <c r="F44" s="102">
        <f t="shared" si="0"/>
        <v>34155.9</v>
      </c>
    </row>
    <row r="45" spans="1:6" x14ac:dyDescent="0.3">
      <c r="A45" s="100" t="s">
        <v>55</v>
      </c>
      <c r="B45" s="101">
        <v>53910.9</v>
      </c>
      <c r="C45" s="107"/>
      <c r="D45" s="107"/>
      <c r="E45" s="107"/>
      <c r="F45" s="102">
        <f t="shared" si="0"/>
        <v>53910.9</v>
      </c>
    </row>
    <row r="46" spans="1:6" x14ac:dyDescent="0.3">
      <c r="A46" s="100" t="s">
        <v>56</v>
      </c>
      <c r="B46" s="101">
        <v>39286.910000000003</v>
      </c>
      <c r="C46" s="107"/>
      <c r="D46" s="107"/>
      <c r="E46" s="107"/>
      <c r="F46" s="102">
        <f t="shared" si="0"/>
        <v>39286.910000000003</v>
      </c>
    </row>
    <row r="47" spans="1:6" x14ac:dyDescent="0.3">
      <c r="A47" s="100" t="s">
        <v>109</v>
      </c>
      <c r="B47" s="101">
        <v>232499.36000000002</v>
      </c>
      <c r="C47" s="107"/>
      <c r="D47" s="107"/>
      <c r="E47" s="107"/>
      <c r="F47" s="102">
        <f t="shared" si="0"/>
        <v>232499.36000000002</v>
      </c>
    </row>
    <row r="48" spans="1:6" x14ac:dyDescent="0.3">
      <c r="A48" s="100" t="s">
        <v>57</v>
      </c>
      <c r="B48" s="101">
        <v>68566.899999999994</v>
      </c>
      <c r="C48" s="107"/>
      <c r="D48" s="107"/>
      <c r="E48" s="107"/>
      <c r="F48" s="102">
        <f t="shared" si="0"/>
        <v>68566.899999999994</v>
      </c>
    </row>
    <row r="49" spans="1:6" x14ac:dyDescent="0.3">
      <c r="A49" s="100" t="s">
        <v>58</v>
      </c>
      <c r="B49" s="101">
        <v>16448.330000000002</v>
      </c>
      <c r="C49" s="107"/>
      <c r="D49" s="107"/>
      <c r="E49" s="107"/>
      <c r="F49" s="102">
        <f t="shared" si="0"/>
        <v>16448.330000000002</v>
      </c>
    </row>
    <row r="50" spans="1:6" x14ac:dyDescent="0.3">
      <c r="A50" s="100" t="s">
        <v>59</v>
      </c>
      <c r="B50" s="101">
        <v>24583.14</v>
      </c>
      <c r="C50" s="107"/>
      <c r="D50" s="107"/>
      <c r="E50" s="107"/>
      <c r="F50" s="102">
        <f t="shared" si="0"/>
        <v>24583.14</v>
      </c>
    </row>
    <row r="51" spans="1:6" x14ac:dyDescent="0.3">
      <c r="A51" s="100" t="s">
        <v>60</v>
      </c>
      <c r="B51" s="101">
        <v>20904.91</v>
      </c>
      <c r="C51" s="107"/>
      <c r="D51" s="107"/>
      <c r="E51" s="107"/>
      <c r="F51" s="102">
        <f t="shared" si="0"/>
        <v>20904.91</v>
      </c>
    </row>
    <row r="52" spans="1:6" x14ac:dyDescent="0.3">
      <c r="A52" s="100" t="s">
        <v>61</v>
      </c>
      <c r="B52" s="101">
        <v>203814.29</v>
      </c>
      <c r="C52" s="107"/>
      <c r="D52" s="107"/>
      <c r="E52" s="107"/>
      <c r="F52" s="102">
        <f t="shared" si="0"/>
        <v>203814.29</v>
      </c>
    </row>
    <row r="53" spans="1:6" x14ac:dyDescent="0.3">
      <c r="A53" s="100" t="s">
        <v>62</v>
      </c>
      <c r="B53" s="101">
        <v>65699.88</v>
      </c>
      <c r="C53" s="107"/>
      <c r="D53" s="107"/>
      <c r="E53" s="107"/>
      <c r="F53" s="102">
        <f t="shared" si="0"/>
        <v>65699.88</v>
      </c>
    </row>
    <row r="54" spans="1:6" x14ac:dyDescent="0.3">
      <c r="A54" s="100" t="s">
        <v>63</v>
      </c>
      <c r="B54" s="101">
        <v>213550.77</v>
      </c>
      <c r="C54" s="107"/>
      <c r="D54" s="107"/>
      <c r="E54" s="107"/>
      <c r="F54" s="102">
        <f t="shared" si="0"/>
        <v>213550.77</v>
      </c>
    </row>
    <row r="55" spans="1:6" x14ac:dyDescent="0.3">
      <c r="A55" s="100" t="s">
        <v>64</v>
      </c>
      <c r="B55" s="101">
        <v>37812.69</v>
      </c>
      <c r="C55" s="107"/>
      <c r="D55" s="107"/>
      <c r="E55" s="107"/>
      <c r="F55" s="102">
        <f t="shared" si="0"/>
        <v>37812.69</v>
      </c>
    </row>
    <row r="56" spans="1:6" x14ac:dyDescent="0.3">
      <c r="A56" s="100" t="s">
        <v>11</v>
      </c>
      <c r="B56" s="101">
        <v>147493.47</v>
      </c>
      <c r="C56" s="107"/>
      <c r="D56" s="107"/>
      <c r="E56" s="107"/>
      <c r="F56" s="102">
        <f t="shared" si="0"/>
        <v>147493.47</v>
      </c>
    </row>
    <row r="57" spans="1:6" x14ac:dyDescent="0.3">
      <c r="A57" s="100" t="s">
        <v>65</v>
      </c>
      <c r="B57" s="101">
        <v>89269.36</v>
      </c>
      <c r="C57" s="107"/>
      <c r="D57" s="107"/>
      <c r="E57" s="107"/>
      <c r="F57" s="102">
        <f t="shared" si="0"/>
        <v>89269.36</v>
      </c>
    </row>
    <row r="58" spans="1:6" x14ac:dyDescent="0.3">
      <c r="A58" s="100" t="s">
        <v>66</v>
      </c>
      <c r="B58" s="101">
        <v>14606.32</v>
      </c>
      <c r="C58" s="107"/>
      <c r="D58" s="107"/>
      <c r="E58" s="107"/>
      <c r="F58" s="102">
        <f t="shared" si="0"/>
        <v>14606.32</v>
      </c>
    </row>
    <row r="59" spans="1:6" x14ac:dyDescent="0.3">
      <c r="A59" s="100" t="s">
        <v>67</v>
      </c>
      <c r="B59" s="101">
        <v>50047.8</v>
      </c>
      <c r="C59" s="107"/>
      <c r="D59" s="107"/>
      <c r="E59" s="107"/>
      <c r="F59" s="102">
        <f t="shared" si="0"/>
        <v>50047.8</v>
      </c>
    </row>
    <row r="60" spans="1:6" x14ac:dyDescent="0.3">
      <c r="A60" s="100" t="s">
        <v>68</v>
      </c>
      <c r="B60" s="101">
        <v>83402.94</v>
      </c>
      <c r="C60" s="107"/>
      <c r="D60" s="107"/>
      <c r="E60" s="107"/>
      <c r="F60" s="102">
        <f t="shared" si="0"/>
        <v>83402.94</v>
      </c>
    </row>
    <row r="61" spans="1:6" x14ac:dyDescent="0.3">
      <c r="A61" s="100" t="s">
        <v>69</v>
      </c>
      <c r="B61" s="101">
        <v>90447.39</v>
      </c>
      <c r="C61" s="107"/>
      <c r="D61" s="107"/>
      <c r="E61" s="107"/>
      <c r="F61" s="102">
        <f t="shared" si="0"/>
        <v>90447.39</v>
      </c>
    </row>
    <row r="62" spans="1:6" x14ac:dyDescent="0.3">
      <c r="A62" s="100" t="s">
        <v>110</v>
      </c>
      <c r="B62" s="101">
        <v>24015.17</v>
      </c>
      <c r="C62" s="107"/>
      <c r="D62" s="107"/>
      <c r="E62" s="107"/>
      <c r="F62" s="102">
        <f t="shared" si="0"/>
        <v>24015.17</v>
      </c>
    </row>
    <row r="63" spans="1:6" x14ac:dyDescent="0.3">
      <c r="A63" s="100" t="s">
        <v>112</v>
      </c>
      <c r="B63" s="101">
        <v>60569.66</v>
      </c>
      <c r="C63" s="107"/>
      <c r="D63" s="107"/>
      <c r="E63" s="107"/>
      <c r="F63" s="102">
        <f t="shared" si="0"/>
        <v>60569.66</v>
      </c>
    </row>
    <row r="64" spans="1:6" x14ac:dyDescent="0.3">
      <c r="A64" s="100" t="s">
        <v>71</v>
      </c>
      <c r="B64" s="101">
        <v>15961.26</v>
      </c>
      <c r="C64" s="107"/>
      <c r="D64" s="107"/>
      <c r="E64" s="107"/>
      <c r="F64" s="102">
        <f t="shared" si="0"/>
        <v>15961.26</v>
      </c>
    </row>
    <row r="65" spans="1:7" x14ac:dyDescent="0.3">
      <c r="A65" s="100" t="s">
        <v>72</v>
      </c>
      <c r="B65" s="101">
        <v>3648.83</v>
      </c>
      <c r="C65" s="107"/>
      <c r="D65" s="107"/>
      <c r="E65" s="107"/>
      <c r="F65" s="102">
        <f t="shared" si="0"/>
        <v>3648.83</v>
      </c>
    </row>
    <row r="66" spans="1:7" x14ac:dyDescent="0.3">
      <c r="A66" s="100" t="s">
        <v>73</v>
      </c>
      <c r="B66" s="101">
        <v>3413.07</v>
      </c>
      <c r="C66" s="107"/>
      <c r="D66" s="107"/>
      <c r="E66" s="107"/>
      <c r="F66" s="102">
        <f t="shared" si="0"/>
        <v>3413.07</v>
      </c>
    </row>
    <row r="67" spans="1:7" x14ac:dyDescent="0.3">
      <c r="A67" s="100" t="s">
        <v>74</v>
      </c>
      <c r="B67" s="101">
        <v>1781.45</v>
      </c>
      <c r="C67" s="107"/>
      <c r="D67" s="107"/>
      <c r="E67" s="107"/>
      <c r="F67" s="102">
        <f t="shared" si="0"/>
        <v>1781.45</v>
      </c>
    </row>
    <row r="68" spans="1:7" x14ac:dyDescent="0.3">
      <c r="A68" s="100" t="s">
        <v>75</v>
      </c>
      <c r="B68" s="101">
        <v>88725.81</v>
      </c>
      <c r="C68" s="107"/>
      <c r="D68" s="107"/>
      <c r="E68" s="107"/>
      <c r="F68" s="102">
        <f t="shared" si="0"/>
        <v>88725.81</v>
      </c>
    </row>
    <row r="69" spans="1:7" x14ac:dyDescent="0.3">
      <c r="A69" s="100" t="s">
        <v>76</v>
      </c>
      <c r="B69" s="101">
        <v>10334.64</v>
      </c>
      <c r="C69" s="107"/>
      <c r="D69" s="107"/>
      <c r="E69" s="107"/>
      <c r="F69" s="102">
        <f t="shared" si="0"/>
        <v>10334.64</v>
      </c>
    </row>
    <row r="70" spans="1:7" x14ac:dyDescent="0.3">
      <c r="A70" s="100" t="s">
        <v>77</v>
      </c>
      <c r="B70" s="101">
        <v>8226.2199999999993</v>
      </c>
      <c r="C70" s="107"/>
      <c r="D70" s="107"/>
      <c r="E70" s="107"/>
      <c r="F70" s="102">
        <f t="shared" ref="F70:F71" si="1">IF(F$3="Jul - Aug - Sep",B70,IF(F$3="Oct - Nov - Dec",C70,IF(F$3="Jan - Feb - Mar",D70,E70)))</f>
        <v>8226.2199999999993</v>
      </c>
    </row>
    <row r="71" spans="1:7" ht="16.5" thickBot="1" x14ac:dyDescent="0.35">
      <c r="A71" s="103" t="s">
        <v>78</v>
      </c>
      <c r="B71" s="104">
        <v>8405.48</v>
      </c>
      <c r="C71" s="108"/>
      <c r="D71" s="108"/>
      <c r="E71" s="108"/>
      <c r="F71" s="109">
        <f t="shared" si="1"/>
        <v>8405.48</v>
      </c>
    </row>
    <row r="72" spans="1:7" ht="17.25" thickTop="1" thickBot="1" x14ac:dyDescent="0.35">
      <c r="A72" s="105" t="s">
        <v>210</v>
      </c>
      <c r="B72" s="106">
        <f>SUM(B5:B71)</f>
        <v>3127549.6999999997</v>
      </c>
      <c r="C72" s="106">
        <f t="shared" ref="C72:F72" si="2">SUM(C5:C71)</f>
        <v>0</v>
      </c>
      <c r="D72" s="106">
        <f t="shared" si="2"/>
        <v>0</v>
      </c>
      <c r="E72" s="106">
        <f t="shared" si="2"/>
        <v>0</v>
      </c>
      <c r="F72" s="106">
        <f t="shared" si="2"/>
        <v>3127549.6999999997</v>
      </c>
      <c r="G72" s="69"/>
    </row>
  </sheetData>
  <sheetProtection algorithmName="SHA-512" hashValue="B6+12R6rYceII6ic7TmBw07Z53g3oetQ9x2P3Si2AYeIWS63c2w/cBw3WE0woLwmF8p+VHR/G3mT23mhIbt25Q==" saltValue="tCeiDazUCJicUYPUvE8nCA==" spinCount="100000" sheet="1" objects="1" scenarios="1"/>
  <conditionalFormatting sqref="C5:E71">
    <cfRule type="expression" dxfId="1" priority="1">
      <formula>MOD(ROW(),2)=1</formula>
    </cfRule>
  </conditionalFormatting>
  <pageMargins left="0.7" right="0.7" top="0.75" bottom="0.75" header="0.3" footer="0.3"/>
  <pageSetup scale="66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D4" sqref="D4"/>
    </sheetView>
  </sheetViews>
  <sheetFormatPr defaultRowHeight="15.75" x14ac:dyDescent="0.3"/>
  <cols>
    <col min="2" max="2" width="11.33203125" bestFit="1" customWidth="1"/>
    <col min="3" max="3" width="11.77734375" bestFit="1" customWidth="1"/>
    <col min="4" max="9" width="10.33203125" customWidth="1"/>
    <col min="10" max="10" width="13.88671875" customWidth="1"/>
  </cols>
  <sheetData>
    <row r="1" spans="1:10" ht="16.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thickBot="1" x14ac:dyDescent="0.35">
      <c r="A2" s="1"/>
      <c r="B2" s="144" t="s">
        <v>218</v>
      </c>
      <c r="C2" s="145"/>
      <c r="D2" s="144" t="s">
        <v>219</v>
      </c>
      <c r="E2" s="145"/>
      <c r="F2" s="144" t="s">
        <v>220</v>
      </c>
      <c r="G2" s="145"/>
      <c r="H2" s="144" t="s">
        <v>221</v>
      </c>
      <c r="I2" s="145"/>
      <c r="J2" s="1" t="str">
        <f>EstimatingTool!F6</f>
        <v>Jul - Aug - Sep</v>
      </c>
    </row>
    <row r="3" spans="1:10" ht="41.25" x14ac:dyDescent="0.3">
      <c r="A3" s="110" t="s">
        <v>248</v>
      </c>
      <c r="B3" s="112" t="s">
        <v>250</v>
      </c>
      <c r="C3" s="113" t="s">
        <v>249</v>
      </c>
      <c r="D3" s="112" t="s">
        <v>250</v>
      </c>
      <c r="E3" s="113" t="s">
        <v>249</v>
      </c>
      <c r="F3" s="112" t="s">
        <v>250</v>
      </c>
      <c r="G3" s="113" t="s">
        <v>249</v>
      </c>
      <c r="H3" s="112" t="s">
        <v>250</v>
      </c>
      <c r="I3" s="113" t="s">
        <v>249</v>
      </c>
      <c r="J3" s="111" t="s">
        <v>251</v>
      </c>
    </row>
    <row r="4" spans="1:10" x14ac:dyDescent="0.3">
      <c r="A4" s="118" t="s">
        <v>16</v>
      </c>
      <c r="B4" s="119">
        <v>0</v>
      </c>
      <c r="C4" s="120">
        <v>21664.51</v>
      </c>
      <c r="D4" s="114"/>
      <c r="E4" s="115"/>
      <c r="F4" s="114"/>
      <c r="G4" s="115"/>
      <c r="H4" s="114"/>
      <c r="I4" s="115"/>
      <c r="J4" s="121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-21664.51</v>
      </c>
    </row>
    <row r="5" spans="1:10" x14ac:dyDescent="0.3">
      <c r="A5" s="118" t="s">
        <v>17</v>
      </c>
      <c r="B5" s="119">
        <v>0</v>
      </c>
      <c r="C5" s="120">
        <v>5762.02</v>
      </c>
      <c r="D5" s="114"/>
      <c r="E5" s="115"/>
      <c r="F5" s="114"/>
      <c r="G5" s="115"/>
      <c r="H5" s="114"/>
      <c r="I5" s="115"/>
      <c r="J5" s="121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-5762.02</v>
      </c>
    </row>
    <row r="6" spans="1:10" x14ac:dyDescent="0.3">
      <c r="A6" s="118" t="s">
        <v>18</v>
      </c>
      <c r="B6" s="119">
        <v>0</v>
      </c>
      <c r="C6" s="120">
        <v>1144.1500000000001</v>
      </c>
      <c r="D6" s="114"/>
      <c r="E6" s="115"/>
      <c r="F6" s="114"/>
      <c r="G6" s="115"/>
      <c r="H6" s="114"/>
      <c r="I6" s="115"/>
      <c r="J6" s="121">
        <f t="shared" si="0"/>
        <v>-1144.1500000000001</v>
      </c>
    </row>
    <row r="7" spans="1:10" x14ac:dyDescent="0.3">
      <c r="A7" s="118" t="s">
        <v>81</v>
      </c>
      <c r="B7" s="119">
        <v>15742.31</v>
      </c>
      <c r="C7" s="120">
        <v>0</v>
      </c>
      <c r="D7" s="114"/>
      <c r="E7" s="115"/>
      <c r="F7" s="114"/>
      <c r="G7" s="115"/>
      <c r="H7" s="114"/>
      <c r="I7" s="115"/>
      <c r="J7" s="121">
        <f t="shared" si="0"/>
        <v>15742.31</v>
      </c>
    </row>
    <row r="8" spans="1:10" x14ac:dyDescent="0.3">
      <c r="A8" s="118" t="s">
        <v>19</v>
      </c>
      <c r="B8" s="119">
        <v>0</v>
      </c>
      <c r="C8" s="120">
        <v>7510.75</v>
      </c>
      <c r="D8" s="114"/>
      <c r="E8" s="115"/>
      <c r="F8" s="114"/>
      <c r="G8" s="115"/>
      <c r="H8" s="114"/>
      <c r="I8" s="115"/>
      <c r="J8" s="121">
        <f t="shared" si="0"/>
        <v>-7510.75</v>
      </c>
    </row>
    <row r="9" spans="1:10" x14ac:dyDescent="0.3">
      <c r="A9" s="118" t="s">
        <v>20</v>
      </c>
      <c r="B9" s="119">
        <v>0</v>
      </c>
      <c r="C9" s="120">
        <v>26249.35</v>
      </c>
      <c r="D9" s="114"/>
      <c r="E9" s="115"/>
      <c r="F9" s="114"/>
      <c r="G9" s="115"/>
      <c r="H9" s="114"/>
      <c r="I9" s="115"/>
      <c r="J9" s="121">
        <f t="shared" si="0"/>
        <v>-26249.35</v>
      </c>
    </row>
    <row r="10" spans="1:10" x14ac:dyDescent="0.3">
      <c r="A10" s="118" t="s">
        <v>21</v>
      </c>
      <c r="B10" s="119">
        <v>0</v>
      </c>
      <c r="C10" s="120">
        <v>477.25</v>
      </c>
      <c r="D10" s="114"/>
      <c r="E10" s="115"/>
      <c r="F10" s="114"/>
      <c r="G10" s="115"/>
      <c r="H10" s="114"/>
      <c r="I10" s="115"/>
      <c r="J10" s="121">
        <f t="shared" si="0"/>
        <v>-477.25</v>
      </c>
    </row>
    <row r="11" spans="1:10" x14ac:dyDescent="0.3">
      <c r="A11" s="118" t="s">
        <v>22</v>
      </c>
      <c r="B11" s="119">
        <v>0</v>
      </c>
      <c r="C11" s="120">
        <v>928.02</v>
      </c>
      <c r="D11" s="114"/>
      <c r="E11" s="115"/>
      <c r="F11" s="114"/>
      <c r="G11" s="115"/>
      <c r="H11" s="114"/>
      <c r="I11" s="115"/>
      <c r="J11" s="121">
        <f t="shared" si="0"/>
        <v>-928.02</v>
      </c>
    </row>
    <row r="12" spans="1:10" x14ac:dyDescent="0.3">
      <c r="A12" s="118" t="s">
        <v>23</v>
      </c>
      <c r="B12" s="119">
        <v>0</v>
      </c>
      <c r="C12" s="120">
        <v>6716.07</v>
      </c>
      <c r="D12" s="114"/>
      <c r="E12" s="115"/>
      <c r="F12" s="114"/>
      <c r="G12" s="115"/>
      <c r="H12" s="114"/>
      <c r="I12" s="115"/>
      <c r="J12" s="121">
        <f t="shared" si="0"/>
        <v>-6716.07</v>
      </c>
    </row>
    <row r="13" spans="1:10" x14ac:dyDescent="0.3">
      <c r="A13" s="118" t="s">
        <v>24</v>
      </c>
      <c r="B13" s="119">
        <v>3991.32</v>
      </c>
      <c r="C13" s="120">
        <v>0</v>
      </c>
      <c r="D13" s="114"/>
      <c r="E13" s="115"/>
      <c r="F13" s="114"/>
      <c r="G13" s="115"/>
      <c r="H13" s="114"/>
      <c r="I13" s="115"/>
      <c r="J13" s="121">
        <f t="shared" si="0"/>
        <v>3991.32</v>
      </c>
    </row>
    <row r="14" spans="1:10" x14ac:dyDescent="0.3">
      <c r="A14" s="118" t="s">
        <v>25</v>
      </c>
      <c r="B14" s="119">
        <v>0</v>
      </c>
      <c r="C14" s="120">
        <v>8129.18</v>
      </c>
      <c r="D14" s="114"/>
      <c r="E14" s="115"/>
      <c r="F14" s="114"/>
      <c r="G14" s="115"/>
      <c r="H14" s="114"/>
      <c r="I14" s="115"/>
      <c r="J14" s="121">
        <f t="shared" si="0"/>
        <v>-8129.18</v>
      </c>
    </row>
    <row r="15" spans="1:10" x14ac:dyDescent="0.3">
      <c r="A15" s="118" t="s">
        <v>26</v>
      </c>
      <c r="B15" s="119">
        <v>686.06</v>
      </c>
      <c r="C15" s="120">
        <v>0</v>
      </c>
      <c r="D15" s="114"/>
      <c r="E15" s="115"/>
      <c r="F15" s="114"/>
      <c r="G15" s="115"/>
      <c r="H15" s="114"/>
      <c r="I15" s="115"/>
      <c r="J15" s="121">
        <f t="shared" si="0"/>
        <v>686.06</v>
      </c>
    </row>
    <row r="16" spans="1:10" x14ac:dyDescent="0.3">
      <c r="A16" s="118" t="s">
        <v>109</v>
      </c>
      <c r="B16" s="119">
        <v>67227.48</v>
      </c>
      <c r="C16" s="120">
        <v>0</v>
      </c>
      <c r="D16" s="114"/>
      <c r="E16" s="115"/>
      <c r="F16" s="114"/>
      <c r="G16" s="115"/>
      <c r="H16" s="114"/>
      <c r="I16" s="115"/>
      <c r="J16" s="121">
        <f t="shared" si="0"/>
        <v>67227.48</v>
      </c>
    </row>
    <row r="17" spans="1:10" x14ac:dyDescent="0.3">
      <c r="A17" s="118" t="s">
        <v>27</v>
      </c>
      <c r="B17" s="119">
        <v>0</v>
      </c>
      <c r="C17" s="120">
        <v>1905.75</v>
      </c>
      <c r="D17" s="114"/>
      <c r="E17" s="115"/>
      <c r="F17" s="114"/>
      <c r="G17" s="115"/>
      <c r="H17" s="114"/>
      <c r="I17" s="115"/>
      <c r="J17" s="121">
        <f t="shared" si="0"/>
        <v>-1905.75</v>
      </c>
    </row>
    <row r="18" spans="1:10" x14ac:dyDescent="0.3">
      <c r="A18" s="118" t="s">
        <v>28</v>
      </c>
      <c r="B18" s="119">
        <v>7490.42</v>
      </c>
      <c r="C18" s="120">
        <v>0</v>
      </c>
      <c r="D18" s="114"/>
      <c r="E18" s="115"/>
      <c r="F18" s="114"/>
      <c r="G18" s="115"/>
      <c r="H18" s="114"/>
      <c r="I18" s="115"/>
      <c r="J18" s="121">
        <f t="shared" si="0"/>
        <v>7490.42</v>
      </c>
    </row>
    <row r="19" spans="1:10" x14ac:dyDescent="0.3">
      <c r="A19" s="118" t="s">
        <v>29</v>
      </c>
      <c r="B19" s="119">
        <v>0</v>
      </c>
      <c r="C19" s="120">
        <v>15309.21</v>
      </c>
      <c r="D19" s="114"/>
      <c r="E19" s="115"/>
      <c r="F19" s="114"/>
      <c r="G19" s="115"/>
      <c r="H19" s="114"/>
      <c r="I19" s="115"/>
      <c r="J19" s="121">
        <f t="shared" si="0"/>
        <v>-15309.21</v>
      </c>
    </row>
    <row r="20" spans="1:10" x14ac:dyDescent="0.3">
      <c r="A20" s="118" t="s">
        <v>30</v>
      </c>
      <c r="B20" s="119">
        <v>0</v>
      </c>
      <c r="C20" s="120">
        <v>10426.120000000001</v>
      </c>
      <c r="D20" s="114"/>
      <c r="E20" s="115"/>
      <c r="F20" s="114"/>
      <c r="G20" s="115"/>
      <c r="H20" s="114"/>
      <c r="I20" s="115"/>
      <c r="J20" s="121">
        <f t="shared" si="0"/>
        <v>-10426.120000000001</v>
      </c>
    </row>
    <row r="21" spans="1:10" x14ac:dyDescent="0.3">
      <c r="A21" s="118" t="s">
        <v>31</v>
      </c>
      <c r="B21" s="119">
        <v>3513.66</v>
      </c>
      <c r="C21" s="120">
        <v>0</v>
      </c>
      <c r="D21" s="114"/>
      <c r="E21" s="115"/>
      <c r="F21" s="114"/>
      <c r="G21" s="115"/>
      <c r="H21" s="114"/>
      <c r="I21" s="115"/>
      <c r="J21" s="121">
        <f t="shared" si="0"/>
        <v>3513.66</v>
      </c>
    </row>
    <row r="22" spans="1:10" x14ac:dyDescent="0.3">
      <c r="A22" s="118" t="s">
        <v>32</v>
      </c>
      <c r="B22" s="119">
        <v>988.8</v>
      </c>
      <c r="C22" s="120">
        <v>0</v>
      </c>
      <c r="D22" s="114"/>
      <c r="E22" s="115"/>
      <c r="F22" s="114"/>
      <c r="G22" s="115"/>
      <c r="H22" s="114"/>
      <c r="I22" s="115"/>
      <c r="J22" s="121">
        <f t="shared" si="0"/>
        <v>988.8</v>
      </c>
    </row>
    <row r="23" spans="1:10" x14ac:dyDescent="0.3">
      <c r="A23" s="118" t="s">
        <v>33</v>
      </c>
      <c r="B23" s="119">
        <v>1941.33</v>
      </c>
      <c r="C23" s="120">
        <v>0</v>
      </c>
      <c r="D23" s="114"/>
      <c r="E23" s="115"/>
      <c r="F23" s="114"/>
      <c r="G23" s="115"/>
      <c r="H23" s="114"/>
      <c r="I23" s="115"/>
      <c r="J23" s="121">
        <f t="shared" si="0"/>
        <v>1941.33</v>
      </c>
    </row>
    <row r="24" spans="1:10" x14ac:dyDescent="0.3">
      <c r="A24" s="118" t="s">
        <v>34</v>
      </c>
      <c r="B24" s="119">
        <v>14004.36</v>
      </c>
      <c r="C24" s="120">
        <v>0</v>
      </c>
      <c r="D24" s="114"/>
      <c r="E24" s="115"/>
      <c r="F24" s="114"/>
      <c r="G24" s="115"/>
      <c r="H24" s="114"/>
      <c r="I24" s="115"/>
      <c r="J24" s="121">
        <f t="shared" si="0"/>
        <v>14004.36</v>
      </c>
    </row>
    <row r="25" spans="1:10" x14ac:dyDescent="0.3">
      <c r="A25" s="118" t="s">
        <v>35</v>
      </c>
      <c r="B25" s="119">
        <v>183.01</v>
      </c>
      <c r="C25" s="120">
        <v>0</v>
      </c>
      <c r="D25" s="114"/>
      <c r="E25" s="115"/>
      <c r="F25" s="114"/>
      <c r="G25" s="115"/>
      <c r="H25" s="114"/>
      <c r="I25" s="115"/>
      <c r="J25" s="121">
        <f t="shared" si="0"/>
        <v>183.01</v>
      </c>
    </row>
    <row r="26" spans="1:10" x14ac:dyDescent="0.3">
      <c r="A26" s="118" t="s">
        <v>36</v>
      </c>
      <c r="B26" s="119">
        <v>273.25</v>
      </c>
      <c r="C26" s="120">
        <v>0</v>
      </c>
      <c r="D26" s="114"/>
      <c r="E26" s="115"/>
      <c r="F26" s="114"/>
      <c r="G26" s="115"/>
      <c r="H26" s="114"/>
      <c r="I26" s="115"/>
      <c r="J26" s="121">
        <f t="shared" si="0"/>
        <v>273.25</v>
      </c>
    </row>
    <row r="27" spans="1:10" x14ac:dyDescent="0.3">
      <c r="A27" s="118" t="s">
        <v>37</v>
      </c>
      <c r="B27" s="119">
        <v>0</v>
      </c>
      <c r="C27" s="120">
        <v>1733.43</v>
      </c>
      <c r="D27" s="114"/>
      <c r="E27" s="115"/>
      <c r="F27" s="114"/>
      <c r="G27" s="115"/>
      <c r="H27" s="114"/>
      <c r="I27" s="115"/>
      <c r="J27" s="121">
        <f t="shared" si="0"/>
        <v>-1733.43</v>
      </c>
    </row>
    <row r="28" spans="1:10" x14ac:dyDescent="0.3">
      <c r="A28" s="118" t="s">
        <v>38</v>
      </c>
      <c r="B28" s="119">
        <v>0</v>
      </c>
      <c r="C28" s="120">
        <v>6647.7</v>
      </c>
      <c r="D28" s="114"/>
      <c r="E28" s="115"/>
      <c r="F28" s="114"/>
      <c r="G28" s="115"/>
      <c r="H28" s="114"/>
      <c r="I28" s="115"/>
      <c r="J28" s="121">
        <f t="shared" si="0"/>
        <v>-6647.7</v>
      </c>
    </row>
    <row r="29" spans="1:10" x14ac:dyDescent="0.3">
      <c r="A29" s="118" t="s">
        <v>39</v>
      </c>
      <c r="B29" s="119">
        <v>0</v>
      </c>
      <c r="C29" s="120">
        <v>6530.19</v>
      </c>
      <c r="D29" s="114"/>
      <c r="E29" s="115"/>
      <c r="F29" s="114"/>
      <c r="G29" s="115"/>
      <c r="H29" s="114"/>
      <c r="I29" s="115"/>
      <c r="J29" s="121">
        <f t="shared" si="0"/>
        <v>-6530.19</v>
      </c>
    </row>
    <row r="30" spans="1:10" x14ac:dyDescent="0.3">
      <c r="A30" s="118" t="s">
        <v>40</v>
      </c>
      <c r="B30" s="119">
        <v>0</v>
      </c>
      <c r="C30" s="120">
        <v>6649.47</v>
      </c>
      <c r="D30" s="114"/>
      <c r="E30" s="115"/>
      <c r="F30" s="114"/>
      <c r="G30" s="115"/>
      <c r="H30" s="114"/>
      <c r="I30" s="115"/>
      <c r="J30" s="121">
        <f t="shared" si="0"/>
        <v>-6649.47</v>
      </c>
    </row>
    <row r="31" spans="1:10" x14ac:dyDescent="0.3">
      <c r="A31" s="118" t="s">
        <v>41</v>
      </c>
      <c r="B31" s="119">
        <v>7031.2</v>
      </c>
      <c r="C31" s="120">
        <v>0</v>
      </c>
      <c r="D31" s="114"/>
      <c r="E31" s="115"/>
      <c r="F31" s="114"/>
      <c r="G31" s="115"/>
      <c r="H31" s="114"/>
      <c r="I31" s="115"/>
      <c r="J31" s="121">
        <f t="shared" si="0"/>
        <v>7031.2</v>
      </c>
    </row>
    <row r="32" spans="1:10" x14ac:dyDescent="0.3">
      <c r="A32" s="118" t="s">
        <v>42</v>
      </c>
      <c r="B32" s="119">
        <v>21953.1</v>
      </c>
      <c r="C32" s="120">
        <v>0</v>
      </c>
      <c r="D32" s="114"/>
      <c r="E32" s="115"/>
      <c r="F32" s="114"/>
      <c r="G32" s="115"/>
      <c r="H32" s="114"/>
      <c r="I32" s="115"/>
      <c r="J32" s="121">
        <f t="shared" si="0"/>
        <v>21953.1</v>
      </c>
    </row>
    <row r="33" spans="1:10" x14ac:dyDescent="0.3">
      <c r="A33" s="118" t="s">
        <v>43</v>
      </c>
      <c r="B33" s="119">
        <v>1793.59</v>
      </c>
      <c r="C33" s="120">
        <v>0</v>
      </c>
      <c r="D33" s="114"/>
      <c r="E33" s="115"/>
      <c r="F33" s="114"/>
      <c r="G33" s="115"/>
      <c r="H33" s="114"/>
      <c r="I33" s="115"/>
      <c r="J33" s="121">
        <f t="shared" si="0"/>
        <v>1793.59</v>
      </c>
    </row>
    <row r="34" spans="1:10" x14ac:dyDescent="0.3">
      <c r="A34" s="118" t="s">
        <v>44</v>
      </c>
      <c r="B34" s="119">
        <v>0</v>
      </c>
      <c r="C34" s="120">
        <v>8723.77</v>
      </c>
      <c r="D34" s="114"/>
      <c r="E34" s="115"/>
      <c r="F34" s="114"/>
      <c r="G34" s="115"/>
      <c r="H34" s="114"/>
      <c r="I34" s="115"/>
      <c r="J34" s="121">
        <f t="shared" si="0"/>
        <v>-8723.77</v>
      </c>
    </row>
    <row r="35" spans="1:10" x14ac:dyDescent="0.3">
      <c r="A35" s="118" t="s">
        <v>45</v>
      </c>
      <c r="B35" s="119">
        <v>0</v>
      </c>
      <c r="C35" s="120">
        <v>2365.04</v>
      </c>
      <c r="D35" s="114"/>
      <c r="E35" s="115"/>
      <c r="F35" s="114"/>
      <c r="G35" s="115"/>
      <c r="H35" s="114"/>
      <c r="I35" s="115"/>
      <c r="J35" s="121">
        <f t="shared" si="0"/>
        <v>-2365.04</v>
      </c>
    </row>
    <row r="36" spans="1:10" x14ac:dyDescent="0.3">
      <c r="A36" s="118" t="s">
        <v>46</v>
      </c>
      <c r="B36" s="119">
        <v>0</v>
      </c>
      <c r="C36" s="120">
        <v>7079.87</v>
      </c>
      <c r="D36" s="114"/>
      <c r="E36" s="115"/>
      <c r="F36" s="114"/>
      <c r="G36" s="115"/>
      <c r="H36" s="114"/>
      <c r="I36" s="115"/>
      <c r="J36" s="121">
        <f t="shared" si="0"/>
        <v>-7079.87</v>
      </c>
    </row>
    <row r="37" spans="1:10" x14ac:dyDescent="0.3">
      <c r="A37" s="118" t="s">
        <v>47</v>
      </c>
      <c r="B37" s="119">
        <v>0</v>
      </c>
      <c r="C37" s="120">
        <v>1495.65</v>
      </c>
      <c r="D37" s="114"/>
      <c r="E37" s="115"/>
      <c r="F37" s="114"/>
      <c r="G37" s="115"/>
      <c r="H37" s="114"/>
      <c r="I37" s="115"/>
      <c r="J37" s="121">
        <f t="shared" si="0"/>
        <v>-1495.65</v>
      </c>
    </row>
    <row r="38" spans="1:10" x14ac:dyDescent="0.3">
      <c r="A38" s="118" t="s">
        <v>48</v>
      </c>
      <c r="B38" s="119">
        <v>4486.96</v>
      </c>
      <c r="C38" s="120">
        <v>0</v>
      </c>
      <c r="D38" s="114"/>
      <c r="E38" s="115"/>
      <c r="F38" s="114"/>
      <c r="G38" s="115"/>
      <c r="H38" s="114"/>
      <c r="I38" s="115"/>
      <c r="J38" s="121">
        <f t="shared" si="0"/>
        <v>4486.96</v>
      </c>
    </row>
    <row r="39" spans="1:10" x14ac:dyDescent="0.3">
      <c r="A39" s="118" t="s">
        <v>49</v>
      </c>
      <c r="B39" s="119">
        <v>5152.1400000000003</v>
      </c>
      <c r="C39" s="120">
        <v>0</v>
      </c>
      <c r="D39" s="114"/>
      <c r="E39" s="115"/>
      <c r="F39" s="114"/>
      <c r="G39" s="115"/>
      <c r="H39" s="114"/>
      <c r="I39" s="115"/>
      <c r="J39" s="121">
        <f t="shared" si="0"/>
        <v>5152.1400000000003</v>
      </c>
    </row>
    <row r="40" spans="1:10" x14ac:dyDescent="0.3">
      <c r="A40" s="118" t="s">
        <v>50</v>
      </c>
      <c r="B40" s="119">
        <v>0</v>
      </c>
      <c r="C40" s="120">
        <v>32293.38</v>
      </c>
      <c r="D40" s="114"/>
      <c r="E40" s="115"/>
      <c r="F40" s="114"/>
      <c r="G40" s="115"/>
      <c r="H40" s="114"/>
      <c r="I40" s="115"/>
      <c r="J40" s="121">
        <f t="shared" si="0"/>
        <v>-32293.38</v>
      </c>
    </row>
    <row r="41" spans="1:10" x14ac:dyDescent="0.3">
      <c r="A41" s="118" t="s">
        <v>51</v>
      </c>
      <c r="B41" s="119">
        <v>6708.44</v>
      </c>
      <c r="C41" s="120">
        <v>0</v>
      </c>
      <c r="D41" s="114"/>
      <c r="E41" s="115"/>
      <c r="F41" s="114"/>
      <c r="G41" s="115"/>
      <c r="H41" s="114"/>
      <c r="I41" s="115"/>
      <c r="J41" s="121">
        <f t="shared" si="0"/>
        <v>6708.44</v>
      </c>
    </row>
    <row r="42" spans="1:10" x14ac:dyDescent="0.3">
      <c r="A42" s="118" t="s">
        <v>52</v>
      </c>
      <c r="B42" s="119">
        <v>0</v>
      </c>
      <c r="C42" s="120">
        <v>1623.14</v>
      </c>
      <c r="D42" s="114"/>
      <c r="E42" s="115"/>
      <c r="F42" s="114"/>
      <c r="G42" s="115"/>
      <c r="H42" s="114"/>
      <c r="I42" s="115"/>
      <c r="J42" s="121">
        <f t="shared" si="0"/>
        <v>-1623.14</v>
      </c>
    </row>
    <row r="43" spans="1:10" x14ac:dyDescent="0.3">
      <c r="A43" s="118" t="s">
        <v>53</v>
      </c>
      <c r="B43" s="119">
        <v>3329.36</v>
      </c>
      <c r="C43" s="120">
        <v>0</v>
      </c>
      <c r="D43" s="114"/>
      <c r="E43" s="115"/>
      <c r="F43" s="114"/>
      <c r="G43" s="115"/>
      <c r="H43" s="114"/>
      <c r="I43" s="115"/>
      <c r="J43" s="121">
        <f t="shared" si="0"/>
        <v>3329.36</v>
      </c>
    </row>
    <row r="44" spans="1:10" x14ac:dyDescent="0.3">
      <c r="A44" s="118" t="s">
        <v>54</v>
      </c>
      <c r="B44" s="119">
        <v>2581.71</v>
      </c>
      <c r="C44" s="120">
        <v>0</v>
      </c>
      <c r="D44" s="114"/>
      <c r="E44" s="115"/>
      <c r="F44" s="114"/>
      <c r="G44" s="115"/>
      <c r="H44" s="114"/>
      <c r="I44" s="115"/>
      <c r="J44" s="121">
        <f t="shared" si="0"/>
        <v>2581.71</v>
      </c>
    </row>
    <row r="45" spans="1:10" x14ac:dyDescent="0.3">
      <c r="A45" s="118" t="s">
        <v>55</v>
      </c>
      <c r="B45" s="119">
        <v>0</v>
      </c>
      <c r="C45" s="120">
        <v>329.96</v>
      </c>
      <c r="D45" s="114"/>
      <c r="E45" s="115"/>
      <c r="F45" s="114"/>
      <c r="G45" s="115"/>
      <c r="H45" s="114"/>
      <c r="I45" s="115"/>
      <c r="J45" s="121">
        <f t="shared" si="0"/>
        <v>-329.96</v>
      </c>
    </row>
    <row r="46" spans="1:10" x14ac:dyDescent="0.3">
      <c r="A46" s="118" t="s">
        <v>56</v>
      </c>
      <c r="B46" s="119">
        <v>0</v>
      </c>
      <c r="C46" s="120">
        <v>5264.94</v>
      </c>
      <c r="D46" s="114"/>
      <c r="E46" s="115"/>
      <c r="F46" s="114"/>
      <c r="G46" s="115"/>
      <c r="H46" s="114"/>
      <c r="I46" s="115"/>
      <c r="J46" s="121">
        <f t="shared" si="0"/>
        <v>-5264.94</v>
      </c>
    </row>
    <row r="47" spans="1:10" x14ac:dyDescent="0.3">
      <c r="A47" s="118" t="s">
        <v>57</v>
      </c>
      <c r="B47" s="119">
        <v>0</v>
      </c>
      <c r="C47" s="120">
        <v>24337.31</v>
      </c>
      <c r="D47" s="114"/>
      <c r="E47" s="115"/>
      <c r="F47" s="114"/>
      <c r="G47" s="115"/>
      <c r="H47" s="114"/>
      <c r="I47" s="115"/>
      <c r="J47" s="121">
        <f t="shared" si="0"/>
        <v>-24337.31</v>
      </c>
    </row>
    <row r="48" spans="1:10" x14ac:dyDescent="0.3">
      <c r="A48" s="118" t="s">
        <v>58</v>
      </c>
      <c r="B48" s="119">
        <v>0</v>
      </c>
      <c r="C48" s="120">
        <v>1243.07</v>
      </c>
      <c r="D48" s="114"/>
      <c r="E48" s="115"/>
      <c r="F48" s="114"/>
      <c r="G48" s="115"/>
      <c r="H48" s="114"/>
      <c r="I48" s="115"/>
      <c r="J48" s="121">
        <f t="shared" si="0"/>
        <v>-1243.07</v>
      </c>
    </row>
    <row r="49" spans="1:10" x14ac:dyDescent="0.3">
      <c r="A49" s="118" t="s">
        <v>59</v>
      </c>
      <c r="B49" s="119">
        <v>0</v>
      </c>
      <c r="C49" s="120">
        <v>1672.33</v>
      </c>
      <c r="D49" s="114"/>
      <c r="E49" s="115"/>
      <c r="F49" s="114"/>
      <c r="G49" s="115"/>
      <c r="H49" s="114"/>
      <c r="I49" s="115"/>
      <c r="J49" s="121">
        <f t="shared" si="0"/>
        <v>-1672.33</v>
      </c>
    </row>
    <row r="50" spans="1:10" x14ac:dyDescent="0.3">
      <c r="A50" s="118" t="s">
        <v>60</v>
      </c>
      <c r="B50" s="119">
        <v>0</v>
      </c>
      <c r="C50" s="120">
        <v>5439.37</v>
      </c>
      <c r="D50" s="114"/>
      <c r="E50" s="115"/>
      <c r="F50" s="114"/>
      <c r="G50" s="115"/>
      <c r="H50" s="114"/>
      <c r="I50" s="115"/>
      <c r="J50" s="121">
        <f t="shared" si="0"/>
        <v>-5439.37</v>
      </c>
    </row>
    <row r="51" spans="1:10" x14ac:dyDescent="0.3">
      <c r="A51" s="118" t="s">
        <v>61</v>
      </c>
      <c r="B51" s="119">
        <v>0</v>
      </c>
      <c r="C51" s="120">
        <v>16850.16</v>
      </c>
      <c r="D51" s="114"/>
      <c r="E51" s="115"/>
      <c r="F51" s="114"/>
      <c r="G51" s="115"/>
      <c r="H51" s="114"/>
      <c r="I51" s="115"/>
      <c r="J51" s="121">
        <f t="shared" si="0"/>
        <v>-16850.16</v>
      </c>
    </row>
    <row r="52" spans="1:10" x14ac:dyDescent="0.3">
      <c r="A52" s="118" t="s">
        <v>62</v>
      </c>
      <c r="B52" s="119">
        <v>979.13</v>
      </c>
      <c r="C52" s="120">
        <v>0</v>
      </c>
      <c r="D52" s="114"/>
      <c r="E52" s="115"/>
      <c r="F52" s="114"/>
      <c r="G52" s="115"/>
      <c r="H52" s="114"/>
      <c r="I52" s="115"/>
      <c r="J52" s="121">
        <f t="shared" si="0"/>
        <v>979.13</v>
      </c>
    </row>
    <row r="53" spans="1:10" x14ac:dyDescent="0.3">
      <c r="A53" s="118" t="s">
        <v>63</v>
      </c>
      <c r="B53" s="119">
        <v>0</v>
      </c>
      <c r="C53" s="120">
        <v>10933.52</v>
      </c>
      <c r="D53" s="114"/>
      <c r="E53" s="115"/>
      <c r="F53" s="114"/>
      <c r="G53" s="115"/>
      <c r="H53" s="114"/>
      <c r="I53" s="115"/>
      <c r="J53" s="121">
        <f t="shared" si="0"/>
        <v>-10933.52</v>
      </c>
    </row>
    <row r="54" spans="1:10" x14ac:dyDescent="0.3">
      <c r="A54" s="118" t="s">
        <v>64</v>
      </c>
      <c r="B54" s="119">
        <v>0</v>
      </c>
      <c r="C54" s="120">
        <v>7453.6</v>
      </c>
      <c r="D54" s="114"/>
      <c r="E54" s="115"/>
      <c r="F54" s="114"/>
      <c r="G54" s="115"/>
      <c r="H54" s="114"/>
      <c r="I54" s="115"/>
      <c r="J54" s="121">
        <f t="shared" si="0"/>
        <v>-7453.6</v>
      </c>
    </row>
    <row r="55" spans="1:10" x14ac:dyDescent="0.3">
      <c r="A55" s="118" t="s">
        <v>11</v>
      </c>
      <c r="B55" s="119">
        <v>16703.439999999999</v>
      </c>
      <c r="C55" s="120">
        <v>0</v>
      </c>
      <c r="D55" s="114"/>
      <c r="E55" s="115"/>
      <c r="F55" s="114"/>
      <c r="G55" s="115"/>
      <c r="H55" s="114"/>
      <c r="I55" s="115"/>
      <c r="J55" s="121">
        <f t="shared" si="0"/>
        <v>16703.439999999999</v>
      </c>
    </row>
    <row r="56" spans="1:10" x14ac:dyDescent="0.3">
      <c r="A56" s="118" t="s">
        <v>65</v>
      </c>
      <c r="B56" s="119">
        <v>0</v>
      </c>
      <c r="C56" s="120">
        <v>4585.1499999999996</v>
      </c>
      <c r="D56" s="114"/>
      <c r="E56" s="115"/>
      <c r="F56" s="114"/>
      <c r="G56" s="115"/>
      <c r="H56" s="114"/>
      <c r="I56" s="115"/>
      <c r="J56" s="121">
        <f t="shared" si="0"/>
        <v>-4585.1499999999996</v>
      </c>
    </row>
    <row r="57" spans="1:10" x14ac:dyDescent="0.3">
      <c r="A57" s="118" t="s">
        <v>66</v>
      </c>
      <c r="B57" s="119">
        <v>12843.84</v>
      </c>
      <c r="C57" s="120">
        <v>0</v>
      </c>
      <c r="D57" s="114"/>
      <c r="E57" s="115"/>
      <c r="F57" s="114"/>
      <c r="G57" s="115"/>
      <c r="H57" s="114"/>
      <c r="I57" s="115"/>
      <c r="J57" s="121">
        <f t="shared" si="0"/>
        <v>12843.84</v>
      </c>
    </row>
    <row r="58" spans="1:10" x14ac:dyDescent="0.3">
      <c r="A58" s="118" t="s">
        <v>67</v>
      </c>
      <c r="B58" s="119">
        <v>0</v>
      </c>
      <c r="C58" s="120">
        <v>11731.22</v>
      </c>
      <c r="D58" s="114"/>
      <c r="E58" s="115"/>
      <c r="F58" s="114"/>
      <c r="G58" s="115"/>
      <c r="H58" s="114"/>
      <c r="I58" s="115"/>
      <c r="J58" s="121">
        <f t="shared" si="0"/>
        <v>-11731.22</v>
      </c>
    </row>
    <row r="59" spans="1:10" x14ac:dyDescent="0.3">
      <c r="A59" s="118" t="s">
        <v>68</v>
      </c>
      <c r="B59" s="119">
        <v>3669.46</v>
      </c>
      <c r="C59" s="120">
        <v>0</v>
      </c>
      <c r="D59" s="114"/>
      <c r="E59" s="115"/>
      <c r="F59" s="114"/>
      <c r="G59" s="115"/>
      <c r="H59" s="114"/>
      <c r="I59" s="115"/>
      <c r="J59" s="121">
        <f t="shared" si="0"/>
        <v>3669.46</v>
      </c>
    </row>
    <row r="60" spans="1:10" x14ac:dyDescent="0.3">
      <c r="A60" s="118" t="s">
        <v>69</v>
      </c>
      <c r="B60" s="119">
        <v>0</v>
      </c>
      <c r="C60" s="120">
        <v>32144.26</v>
      </c>
      <c r="D60" s="114"/>
      <c r="E60" s="115"/>
      <c r="F60" s="114"/>
      <c r="G60" s="115"/>
      <c r="H60" s="114"/>
      <c r="I60" s="115"/>
      <c r="J60" s="121">
        <f t="shared" si="0"/>
        <v>-32144.26</v>
      </c>
    </row>
    <row r="61" spans="1:10" x14ac:dyDescent="0.3">
      <c r="A61" s="118" t="s">
        <v>110</v>
      </c>
      <c r="B61" s="119">
        <v>0</v>
      </c>
      <c r="C61" s="120">
        <v>4561.53</v>
      </c>
      <c r="D61" s="114"/>
      <c r="E61" s="115"/>
      <c r="F61" s="114"/>
      <c r="G61" s="115"/>
      <c r="H61" s="114"/>
      <c r="I61" s="115"/>
      <c r="J61" s="121">
        <f t="shared" si="0"/>
        <v>-4561.53</v>
      </c>
    </row>
    <row r="62" spans="1:10" x14ac:dyDescent="0.3">
      <c r="A62" s="118" t="s">
        <v>112</v>
      </c>
      <c r="B62" s="119">
        <v>16783.97</v>
      </c>
      <c r="C62" s="120">
        <v>0</v>
      </c>
      <c r="D62" s="114"/>
      <c r="E62" s="115"/>
      <c r="F62" s="114"/>
      <c r="G62" s="115"/>
      <c r="H62" s="114"/>
      <c r="I62" s="115"/>
      <c r="J62" s="121">
        <f t="shared" si="0"/>
        <v>16783.97</v>
      </c>
    </row>
    <row r="63" spans="1:10" x14ac:dyDescent="0.3">
      <c r="A63" s="118" t="s">
        <v>71</v>
      </c>
      <c r="B63" s="119">
        <v>0</v>
      </c>
      <c r="C63" s="120">
        <v>0</v>
      </c>
      <c r="D63" s="114"/>
      <c r="E63" s="115"/>
      <c r="F63" s="114"/>
      <c r="G63" s="115"/>
      <c r="H63" s="114"/>
      <c r="I63" s="115"/>
      <c r="J63" s="121">
        <f t="shared" si="0"/>
        <v>0</v>
      </c>
    </row>
    <row r="64" spans="1:10" x14ac:dyDescent="0.3">
      <c r="A64" s="118" t="s">
        <v>72</v>
      </c>
      <c r="B64" s="119">
        <v>1575.74</v>
      </c>
      <c r="C64" s="120">
        <v>0</v>
      </c>
      <c r="D64" s="114"/>
      <c r="E64" s="115"/>
      <c r="F64" s="114"/>
      <c r="G64" s="115"/>
      <c r="H64" s="114"/>
      <c r="I64" s="115"/>
      <c r="J64" s="121">
        <f t="shared" si="0"/>
        <v>1575.74</v>
      </c>
    </row>
    <row r="65" spans="1:10" x14ac:dyDescent="0.3">
      <c r="A65" s="118" t="s">
        <v>73</v>
      </c>
      <c r="B65" s="119">
        <v>0</v>
      </c>
      <c r="C65" s="120">
        <v>470.08</v>
      </c>
      <c r="D65" s="114"/>
      <c r="E65" s="115"/>
      <c r="F65" s="114"/>
      <c r="G65" s="115"/>
      <c r="H65" s="114"/>
      <c r="I65" s="115"/>
      <c r="J65" s="121">
        <f t="shared" si="0"/>
        <v>-470.08</v>
      </c>
    </row>
    <row r="66" spans="1:10" x14ac:dyDescent="0.3">
      <c r="A66" s="118" t="s">
        <v>74</v>
      </c>
      <c r="B66" s="119">
        <v>0</v>
      </c>
      <c r="C66" s="120">
        <v>0</v>
      </c>
      <c r="D66" s="114"/>
      <c r="E66" s="115"/>
      <c r="F66" s="114"/>
      <c r="G66" s="115"/>
      <c r="H66" s="114"/>
      <c r="I66" s="115"/>
      <c r="J66" s="121">
        <f t="shared" si="0"/>
        <v>0</v>
      </c>
    </row>
    <row r="67" spans="1:10" x14ac:dyDescent="0.3">
      <c r="A67" s="118" t="s">
        <v>75</v>
      </c>
      <c r="B67" s="119">
        <v>0</v>
      </c>
      <c r="C67" s="120">
        <v>4536.0200000000004</v>
      </c>
      <c r="D67" s="114"/>
      <c r="E67" s="115"/>
      <c r="F67" s="114"/>
      <c r="G67" s="115"/>
      <c r="H67" s="114"/>
      <c r="I67" s="115"/>
      <c r="J67" s="121">
        <f t="shared" si="0"/>
        <v>-4536.0200000000004</v>
      </c>
    </row>
    <row r="68" spans="1:10" x14ac:dyDescent="0.3">
      <c r="A68" s="118" t="s">
        <v>76</v>
      </c>
      <c r="B68" s="119">
        <v>0</v>
      </c>
      <c r="C68" s="120">
        <v>731.66</v>
      </c>
      <c r="D68" s="114"/>
      <c r="E68" s="115"/>
      <c r="F68" s="114"/>
      <c r="G68" s="115"/>
      <c r="H68" s="114"/>
      <c r="I68" s="115"/>
      <c r="J68" s="121">
        <f t="shared" si="0"/>
        <v>-731.66</v>
      </c>
    </row>
    <row r="69" spans="1:10" x14ac:dyDescent="0.3">
      <c r="A69" s="118" t="s">
        <v>77</v>
      </c>
      <c r="B69" s="119">
        <v>5089.3900000000003</v>
      </c>
      <c r="C69" s="120">
        <v>0</v>
      </c>
      <c r="D69" s="114"/>
      <c r="E69" s="115"/>
      <c r="F69" s="114"/>
      <c r="G69" s="115"/>
      <c r="H69" s="114"/>
      <c r="I69" s="115"/>
      <c r="J69" s="121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5089.3900000000003</v>
      </c>
    </row>
    <row r="70" spans="1:10" ht="16.5" thickBot="1" x14ac:dyDescent="0.35">
      <c r="A70" s="122" t="s">
        <v>78</v>
      </c>
      <c r="B70" s="123">
        <v>2047.29</v>
      </c>
      <c r="C70" s="124">
        <v>0</v>
      </c>
      <c r="D70" s="116"/>
      <c r="E70" s="117"/>
      <c r="F70" s="116"/>
      <c r="G70" s="117"/>
      <c r="H70" s="116"/>
      <c r="I70" s="117"/>
      <c r="J70" s="125">
        <f t="shared" si="1"/>
        <v>2047.29</v>
      </c>
    </row>
    <row r="71" spans="1:10" ht="17.25" thickTop="1" thickBot="1" x14ac:dyDescent="0.35">
      <c r="A71" s="126" t="s">
        <v>252</v>
      </c>
      <c r="B71" s="127">
        <f>SUM(B4:B70)</f>
        <v>228770.75999999998</v>
      </c>
      <c r="C71" s="128">
        <f t="shared" ref="C71:J71" si="2">SUM(C4:C70)</f>
        <v>313648.2</v>
      </c>
      <c r="D71" s="129">
        <f t="shared" si="2"/>
        <v>0</v>
      </c>
      <c r="E71" s="128">
        <f t="shared" si="2"/>
        <v>0</v>
      </c>
      <c r="F71" s="129">
        <f t="shared" si="2"/>
        <v>0</v>
      </c>
      <c r="G71" s="128">
        <f t="shared" si="2"/>
        <v>0</v>
      </c>
      <c r="H71" s="129">
        <f t="shared" si="2"/>
        <v>0</v>
      </c>
      <c r="I71" s="128">
        <f t="shared" si="2"/>
        <v>0</v>
      </c>
      <c r="J71" s="130">
        <f t="shared" si="2"/>
        <v>-84877.440000000002</v>
      </c>
    </row>
  </sheetData>
  <sheetProtection algorithmName="SHA-512" hashValue="T2jOv614ZziJYd5ZhxNOPh6RY8DTlDGEzgoaCY02kbmj0ng1N2GBHIlAJ3RdGyoRjTkpi9PgQCnVzDNtELPT5Q==" saltValue="cFuyA6fy98F/x4YuYtSeOw==" spinCount="100000" sheet="1" objects="1" scenarios="1"/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F55" sqref="F55"/>
    </sheetView>
  </sheetViews>
  <sheetFormatPr defaultColWidth="8.88671875" defaultRowHeight="12.75" x14ac:dyDescent="0.2"/>
  <cols>
    <col min="1" max="7" width="8.88671875" style="13"/>
    <col min="8" max="8" width="13" style="13" bestFit="1" customWidth="1"/>
    <col min="9" max="13" width="13" style="13" customWidth="1"/>
    <col min="14" max="14" width="8.88671875" style="13"/>
    <col min="15" max="15" width="13" style="13" bestFit="1" customWidth="1"/>
    <col min="16" max="16" width="11.44140625" style="13" customWidth="1"/>
    <col min="17" max="17" width="10.5546875" style="13" customWidth="1"/>
    <col min="18" max="19" width="10.33203125" style="13" bestFit="1" customWidth="1"/>
    <col min="20" max="21" width="9.44140625" style="13" bestFit="1" customWidth="1"/>
    <col min="22" max="22" width="10.33203125" style="13" customWidth="1"/>
    <col min="23" max="16384" width="8.88671875" style="13"/>
  </cols>
  <sheetData>
    <row r="1" spans="1:17" ht="27" x14ac:dyDescent="0.25">
      <c r="A1" s="64" t="s">
        <v>104</v>
      </c>
      <c r="B1" s="64" t="s">
        <v>105</v>
      </c>
      <c r="C1" s="64" t="s">
        <v>106</v>
      </c>
      <c r="D1" s="64" t="s">
        <v>107</v>
      </c>
      <c r="E1" s="64" t="s">
        <v>108</v>
      </c>
      <c r="F1" s="19" t="s">
        <v>114</v>
      </c>
      <c r="G1" s="19" t="s">
        <v>115</v>
      </c>
      <c r="H1" s="19" t="s">
        <v>116</v>
      </c>
      <c r="I1" s="19" t="s">
        <v>223</v>
      </c>
      <c r="J1" s="19" t="s">
        <v>222</v>
      </c>
      <c r="K1" s="19" t="s">
        <v>230</v>
      </c>
      <c r="L1" s="19" t="s">
        <v>233</v>
      </c>
      <c r="M1" s="19" t="s">
        <v>237</v>
      </c>
      <c r="N1" s="19" t="s">
        <v>115</v>
      </c>
      <c r="O1" s="19" t="s">
        <v>195</v>
      </c>
      <c r="P1" s="19" t="s">
        <v>147</v>
      </c>
      <c r="Q1" s="19" t="s">
        <v>163</v>
      </c>
    </row>
    <row r="2" spans="1:17" ht="54" x14ac:dyDescent="0.2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218</v>
      </c>
      <c r="I2" s="18" t="s">
        <v>226</v>
      </c>
      <c r="J2" s="87" t="str">
        <f>" SFY 18/19: Q1 "&amp;H2&amp;CHAR(10)&amp;" CFY 17/18: Q4 "&amp;H2</f>
        <v xml:space="preserve"> SFY 18/19: Q1 Jul - Aug - Sep
 CFY 17/18: Q4 Jul - Aug - Sep</v>
      </c>
      <c r="K2" s="18" t="s">
        <v>221</v>
      </c>
      <c r="L2" s="18" t="s">
        <v>203</v>
      </c>
      <c r="M2" s="18" t="s">
        <v>204</v>
      </c>
      <c r="N2" s="13" t="s">
        <v>148</v>
      </c>
      <c r="O2" s="18" t="s">
        <v>191</v>
      </c>
      <c r="P2" s="18" t="s">
        <v>159</v>
      </c>
      <c r="Q2" s="13" t="str">
        <f>RIGHT(P2,4)</f>
        <v>Qtr2</v>
      </c>
    </row>
    <row r="3" spans="1:17" ht="54" x14ac:dyDescent="0.2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219</v>
      </c>
      <c r="I3" s="18" t="s">
        <v>227</v>
      </c>
      <c r="J3" s="87" t="str">
        <f>" SFY 18/19: Q2 "&amp;H3&amp;CHAR(10)&amp;" CFY 18/19: Q1 "&amp;H3</f>
        <v xml:space="preserve"> SFY 18/19: Q2 Oct - Nov - Dec
 CFY 18/19: Q1 Oct - Nov - Dec</v>
      </c>
      <c r="K3" s="18" t="s">
        <v>218</v>
      </c>
      <c r="L3" s="18" t="s">
        <v>234</v>
      </c>
      <c r="M3" s="18" t="s">
        <v>240</v>
      </c>
      <c r="N3" s="13" t="s">
        <v>149</v>
      </c>
      <c r="O3" s="18" t="s">
        <v>191</v>
      </c>
      <c r="P3" s="18" t="s">
        <v>159</v>
      </c>
      <c r="Q3" s="13" t="str">
        <f t="shared" ref="Q3:Q13" si="0">RIGHT(P3,4)</f>
        <v>Qtr2</v>
      </c>
    </row>
    <row r="4" spans="1:17" ht="54" x14ac:dyDescent="0.2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220</v>
      </c>
      <c r="I4" s="18" t="s">
        <v>228</v>
      </c>
      <c r="J4" s="87" t="str">
        <f>" SFY 18/19: Q3 "&amp;H4&amp;CHAR(10)&amp;" CFY 18/19: Q2 "&amp;H4</f>
        <v xml:space="preserve"> SFY 18/19: Q3 Jan - Feb - Mar
 CFY 18/19: Q2 Jan - Feb - Mar</v>
      </c>
      <c r="K4" s="18" t="s">
        <v>219</v>
      </c>
      <c r="L4" s="18" t="s">
        <v>235</v>
      </c>
      <c r="M4" s="18" t="s">
        <v>238</v>
      </c>
      <c r="N4" s="13" t="s">
        <v>150</v>
      </c>
      <c r="O4" s="18" t="s">
        <v>191</v>
      </c>
      <c r="P4" s="18" t="s">
        <v>159</v>
      </c>
      <c r="Q4" s="13" t="str">
        <f t="shared" si="0"/>
        <v>Qtr2</v>
      </c>
    </row>
    <row r="5" spans="1:17" ht="54" x14ac:dyDescent="0.2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221</v>
      </c>
      <c r="I5" s="18" t="s">
        <v>229</v>
      </c>
      <c r="J5" s="87" t="str">
        <f>" SFY 18/19: Q3 "&amp;H5&amp;CHAR(10)&amp;" CFY 18/19: Q4 "&amp;H5</f>
        <v xml:space="preserve"> SFY 18/19: Q3 Apr - May - Jun
 CFY 18/19: Q4 Apr - May - Jun</v>
      </c>
      <c r="K5" s="18" t="s">
        <v>220</v>
      </c>
      <c r="L5" s="18" t="s">
        <v>236</v>
      </c>
      <c r="M5" s="18" t="s">
        <v>239</v>
      </c>
      <c r="N5" s="13" t="s">
        <v>151</v>
      </c>
      <c r="O5" s="18" t="s">
        <v>192</v>
      </c>
      <c r="P5" s="18" t="s">
        <v>160</v>
      </c>
      <c r="Q5" s="13" t="str">
        <f t="shared" si="0"/>
        <v>Qtr3</v>
      </c>
    </row>
    <row r="6" spans="1:17" ht="13.5" x14ac:dyDescent="0.2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192</v>
      </c>
      <c r="P6" s="18" t="s">
        <v>160</v>
      </c>
      <c r="Q6" s="13" t="str">
        <f t="shared" si="0"/>
        <v>Qtr3</v>
      </c>
    </row>
    <row r="7" spans="1:17" ht="13.5" x14ac:dyDescent="0.2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192</v>
      </c>
      <c r="P7" s="18" t="s">
        <v>160</v>
      </c>
      <c r="Q7" s="13" t="str">
        <f t="shared" si="0"/>
        <v>Qtr3</v>
      </c>
    </row>
    <row r="8" spans="1:17" ht="16.5" x14ac:dyDescent="0.2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61"/>
      <c r="I8" s="18"/>
      <c r="J8" s="18"/>
      <c r="K8" s="18"/>
      <c r="L8" s="18"/>
      <c r="M8" s="18"/>
      <c r="N8" s="13" t="s">
        <v>154</v>
      </c>
      <c r="O8" s="18" t="s">
        <v>193</v>
      </c>
      <c r="P8" s="18" t="s">
        <v>161</v>
      </c>
      <c r="Q8" s="13" t="str">
        <f t="shared" si="0"/>
        <v>Qtr4</v>
      </c>
    </row>
    <row r="9" spans="1:17" ht="13.5" x14ac:dyDescent="0.2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193</v>
      </c>
      <c r="P9" s="18" t="s">
        <v>161</v>
      </c>
      <c r="Q9" s="13" t="str">
        <f t="shared" si="0"/>
        <v>Qtr4</v>
      </c>
    </row>
    <row r="10" spans="1:17" ht="13.5" x14ac:dyDescent="0.2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193</v>
      </c>
      <c r="P10" s="18" t="s">
        <v>161</v>
      </c>
      <c r="Q10" s="13" t="str">
        <f t="shared" si="0"/>
        <v>Qtr4</v>
      </c>
    </row>
    <row r="11" spans="1:17" ht="13.5" x14ac:dyDescent="0.2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194</v>
      </c>
      <c r="P11" s="18" t="s">
        <v>162</v>
      </c>
      <c r="Q11" s="13" t="str">
        <f t="shared" si="0"/>
        <v>Qtr1</v>
      </c>
    </row>
    <row r="12" spans="1:17" ht="13.5" x14ac:dyDescent="0.2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194</v>
      </c>
      <c r="P12" s="18" t="s">
        <v>162</v>
      </c>
      <c r="Q12" s="13" t="str">
        <f t="shared" si="0"/>
        <v>Qtr1</v>
      </c>
    </row>
    <row r="13" spans="1:17" ht="13.5" x14ac:dyDescent="0.2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194</v>
      </c>
      <c r="P13" s="18" t="s">
        <v>162</v>
      </c>
      <c r="Q13" s="13" t="str">
        <f t="shared" si="0"/>
        <v>Qtr1</v>
      </c>
    </row>
    <row r="14" spans="1:17" ht="13.5" x14ac:dyDescent="0.2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7" ht="13.5" x14ac:dyDescent="0.2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7" ht="13.5" x14ac:dyDescent="0.2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.75" x14ac:dyDescent="0.3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2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2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2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2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2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2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2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2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2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2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2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2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2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2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2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2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2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2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2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2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2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2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2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2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2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2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2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2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2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2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2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2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2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2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2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2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2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2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2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2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2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2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2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2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2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2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2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2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2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2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2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algorithmName="SHA-512" hashValue="e8/fATbH8cK5n5nSnQAMU3sc1g+1VCya5drJW+bevAgc5eUU6O5AEnoK+XyaLW++4Lwkf3mqKWHnbu9PXTuiLQ==" saltValue="h73nx87YAoQYhKnmXmofSQ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94"/>
  <sheetViews>
    <sheetView workbookViewId="0">
      <selection activeCell="B13" sqref="B13"/>
    </sheetView>
  </sheetViews>
  <sheetFormatPr defaultColWidth="8.88671875" defaultRowHeight="13.5" x14ac:dyDescent="0.25"/>
  <cols>
    <col min="1" max="1" width="16.21875" style="36" customWidth="1"/>
    <col min="2" max="2" width="44.77734375" style="36" bestFit="1" customWidth="1"/>
    <col min="3" max="3" width="8.109375" style="36" customWidth="1"/>
    <col min="4" max="4" width="10.33203125" style="36" customWidth="1"/>
    <col min="5" max="16384" width="8.88671875" style="36"/>
  </cols>
  <sheetData>
    <row r="1" spans="1:12" x14ac:dyDescent="0.25">
      <c r="A1" s="35" t="s">
        <v>126</v>
      </c>
      <c r="B1" s="36" t="s">
        <v>146</v>
      </c>
      <c r="D1" s="35" t="s">
        <v>127</v>
      </c>
      <c r="E1" s="36" t="str">
        <f>IF(Estimate!D4="","None",Estimate!D4)</f>
        <v>None</v>
      </c>
      <c r="G1" s="37" t="s">
        <v>128</v>
      </c>
      <c r="H1" s="38" t="s">
        <v>129</v>
      </c>
      <c r="I1" s="38" t="s">
        <v>130</v>
      </c>
      <c r="J1" s="38" t="s">
        <v>131</v>
      </c>
      <c r="K1" s="38" t="s">
        <v>132</v>
      </c>
      <c r="L1" s="39" t="s">
        <v>133</v>
      </c>
    </row>
    <row r="2" spans="1:12" x14ac:dyDescent="0.25">
      <c r="A2" s="35" t="s">
        <v>134</v>
      </c>
      <c r="B2" s="36" t="s">
        <v>253</v>
      </c>
      <c r="G2" s="40">
        <v>1</v>
      </c>
      <c r="H2" s="41" t="s">
        <v>165</v>
      </c>
      <c r="I2" s="41" t="s">
        <v>135</v>
      </c>
      <c r="J2" s="41" t="s">
        <v>189</v>
      </c>
      <c r="K2" s="41">
        <v>20</v>
      </c>
      <c r="L2" s="42">
        <v>46</v>
      </c>
    </row>
    <row r="3" spans="1:12" x14ac:dyDescent="0.25">
      <c r="G3" s="40">
        <v>2</v>
      </c>
      <c r="H3" s="41"/>
      <c r="I3" s="41"/>
      <c r="J3" s="41"/>
      <c r="K3" s="41"/>
      <c r="L3" s="42"/>
    </row>
    <row r="4" spans="1:12" x14ac:dyDescent="0.25">
      <c r="G4" s="40">
        <v>3</v>
      </c>
      <c r="H4" s="41"/>
      <c r="I4" s="41"/>
      <c r="J4" s="41"/>
      <c r="K4" s="41"/>
      <c r="L4" s="42"/>
    </row>
    <row r="5" spans="1:12" x14ac:dyDescent="0.25">
      <c r="A5" s="43" t="s">
        <v>136</v>
      </c>
      <c r="B5" s="44">
        <v>43231</v>
      </c>
      <c r="G5" s="40">
        <v>4</v>
      </c>
      <c r="H5" s="41"/>
      <c r="I5" s="41"/>
      <c r="J5" s="41"/>
      <c r="K5" s="41"/>
      <c r="L5" s="42"/>
    </row>
    <row r="6" spans="1:12" x14ac:dyDescent="0.25">
      <c r="A6" s="43" t="s">
        <v>137</v>
      </c>
      <c r="B6" s="45"/>
      <c r="G6" s="40">
        <v>5</v>
      </c>
      <c r="L6" s="42"/>
    </row>
    <row r="7" spans="1:12" x14ac:dyDescent="0.25">
      <c r="A7" s="43" t="s">
        <v>138</v>
      </c>
      <c r="B7" s="36" t="str">
        <f>TEXT(B5,"MMM")</f>
        <v>May</v>
      </c>
      <c r="G7" s="40">
        <v>6</v>
      </c>
      <c r="H7" s="41"/>
      <c r="I7" s="41"/>
      <c r="J7" s="41"/>
      <c r="K7" s="41"/>
      <c r="L7" s="42"/>
    </row>
    <row r="8" spans="1:12" x14ac:dyDescent="0.25">
      <c r="A8" s="43" t="s">
        <v>139</v>
      </c>
      <c r="B8" s="36">
        <f>IF(Estimate!F5="",1,Estimate!F5)</f>
        <v>1</v>
      </c>
      <c r="G8" s="40">
        <v>7</v>
      </c>
      <c r="H8" s="41"/>
      <c r="I8" s="41"/>
      <c r="J8" s="41"/>
      <c r="K8" s="41"/>
      <c r="L8" s="42"/>
    </row>
    <row r="9" spans="1:12" x14ac:dyDescent="0.25">
      <c r="A9" s="43" t="s">
        <v>140</v>
      </c>
      <c r="B9" s="46" t="str">
        <f>IF(Estimate!F4="",INDEX(BasicLookupData!O2:O13,MATCH(TEXT(EDATE(B5,-1),"MMM"),BasicLookupData!N2:N13,0)),Estimate!F4)</f>
        <v>Jul - Aug - Sep</v>
      </c>
      <c r="G9" s="40">
        <v>8</v>
      </c>
      <c r="H9" s="41"/>
      <c r="I9" s="41"/>
      <c r="J9" s="41"/>
      <c r="K9" s="41"/>
      <c r="L9" s="42"/>
    </row>
    <row r="10" spans="1:12" x14ac:dyDescent="0.25">
      <c r="A10" s="43" t="s">
        <v>141</v>
      </c>
      <c r="G10" s="40">
        <v>9</v>
      </c>
      <c r="H10" s="41"/>
      <c r="I10" s="41"/>
      <c r="J10" s="41"/>
      <c r="K10" s="41"/>
      <c r="L10" s="42"/>
    </row>
    <row r="11" spans="1:12" x14ac:dyDescent="0.25">
      <c r="A11" s="43" t="s">
        <v>142</v>
      </c>
      <c r="G11" s="40">
        <v>10</v>
      </c>
      <c r="H11" s="41"/>
      <c r="I11" s="41"/>
      <c r="J11" s="41"/>
      <c r="K11" s="41"/>
      <c r="L11" s="42"/>
    </row>
    <row r="12" spans="1:12" ht="14.25" thickBot="1" x14ac:dyDescent="0.3">
      <c r="G12" s="47">
        <v>11</v>
      </c>
      <c r="H12" s="48"/>
      <c r="I12" s="48"/>
      <c r="J12" s="48"/>
      <c r="K12" s="48"/>
      <c r="L12" s="49"/>
    </row>
    <row r="13" spans="1:12" x14ac:dyDescent="0.25">
      <c r="A13" s="43" t="s">
        <v>143</v>
      </c>
      <c r="B13" s="36">
        <v>1</v>
      </c>
      <c r="G13" s="41"/>
      <c r="H13" s="41"/>
      <c r="I13" s="41"/>
      <c r="J13" s="41"/>
      <c r="K13" s="41"/>
      <c r="L13" s="41"/>
    </row>
    <row r="14" spans="1:12" x14ac:dyDescent="0.25">
      <c r="G14" s="41"/>
      <c r="H14" s="41"/>
      <c r="I14" s="41"/>
      <c r="J14" s="41"/>
      <c r="K14" s="41"/>
      <c r="L14" s="41"/>
    </row>
    <row r="20" spans="1:9" x14ac:dyDescent="0.25">
      <c r="A20" s="35" t="s">
        <v>104</v>
      </c>
      <c r="B20" s="35" t="s">
        <v>144</v>
      </c>
      <c r="C20" s="35" t="s">
        <v>164</v>
      </c>
      <c r="D20" s="35" t="s">
        <v>254</v>
      </c>
      <c r="E20" s="35" t="s">
        <v>255</v>
      </c>
      <c r="F20" s="35" t="s">
        <v>256</v>
      </c>
      <c r="G20" s="35" t="s">
        <v>187</v>
      </c>
      <c r="H20" s="35" t="s">
        <v>188</v>
      </c>
      <c r="I20" s="35" t="s">
        <v>145</v>
      </c>
    </row>
    <row r="21" spans="1:9" x14ac:dyDescent="0.25">
      <c r="A21" s="36">
        <f>IFERROR(INDEX(BasicLookupData!A2:A68,MATCH(E1,BasicLookupData!D2:D68,0)),0)</f>
        <v>0</v>
      </c>
      <c r="B21" s="36">
        <v>18</v>
      </c>
      <c r="C21" s="36" t="s">
        <v>166</v>
      </c>
      <c r="D21" s="36" t="s">
        <v>167</v>
      </c>
      <c r="E21" s="36" t="s">
        <v>168</v>
      </c>
      <c r="F21" s="36" t="s">
        <v>169</v>
      </c>
      <c r="G21" s="57">
        <f>Estimate!F9</f>
        <v>0</v>
      </c>
      <c r="H21" s="50"/>
      <c r="I21" s="50">
        <v>6</v>
      </c>
    </row>
    <row r="22" spans="1:9" x14ac:dyDescent="0.25">
      <c r="A22" s="36">
        <f>A21</f>
        <v>0</v>
      </c>
      <c r="B22" s="36">
        <f>B21</f>
        <v>18</v>
      </c>
      <c r="C22" s="36" t="s">
        <v>166</v>
      </c>
      <c r="D22" s="36" t="s">
        <v>167</v>
      </c>
      <c r="E22" s="36" t="s">
        <v>170</v>
      </c>
      <c r="F22" s="36" t="s">
        <v>1</v>
      </c>
      <c r="G22" s="56">
        <f>Estimate!F14</f>
        <v>0</v>
      </c>
      <c r="I22" s="50">
        <v>6</v>
      </c>
    </row>
    <row r="23" spans="1:9" x14ac:dyDescent="0.25">
      <c r="A23" s="36">
        <f t="shared" ref="A23:A46" si="0">A22</f>
        <v>0</v>
      </c>
      <c r="B23" s="36">
        <f t="shared" ref="B23:B46" si="1">B22</f>
        <v>18</v>
      </c>
      <c r="C23" s="36" t="s">
        <v>166</v>
      </c>
      <c r="D23" s="36" t="s">
        <v>167</v>
      </c>
      <c r="E23" s="36" t="s">
        <v>170</v>
      </c>
      <c r="F23" s="36" t="s">
        <v>12</v>
      </c>
      <c r="G23" s="56">
        <f>Estimate!F15</f>
        <v>0</v>
      </c>
      <c r="I23" s="50">
        <v>6</v>
      </c>
    </row>
    <row r="24" spans="1:9" x14ac:dyDescent="0.25">
      <c r="A24" s="36">
        <f t="shared" si="0"/>
        <v>0</v>
      </c>
      <c r="B24" s="36">
        <f t="shared" si="1"/>
        <v>18</v>
      </c>
      <c r="C24" s="36" t="s">
        <v>166</v>
      </c>
      <c r="D24" s="36" t="s">
        <v>167</v>
      </c>
      <c r="E24" s="36" t="s">
        <v>170</v>
      </c>
      <c r="F24" s="36" t="s">
        <v>13</v>
      </c>
      <c r="G24" s="56">
        <f>Estimate!F16</f>
        <v>0</v>
      </c>
      <c r="I24" s="50">
        <v>6</v>
      </c>
    </row>
    <row r="25" spans="1:9" x14ac:dyDescent="0.25">
      <c r="A25" s="36">
        <f t="shared" si="0"/>
        <v>0</v>
      </c>
      <c r="B25" s="36">
        <f t="shared" si="1"/>
        <v>18</v>
      </c>
      <c r="C25" s="36" t="s">
        <v>166</v>
      </c>
      <c r="D25" s="36" t="s">
        <v>167</v>
      </c>
      <c r="E25" s="36" t="s">
        <v>170</v>
      </c>
      <c r="F25" s="36" t="s">
        <v>171</v>
      </c>
      <c r="G25" s="56">
        <f>Estimate!F18</f>
        <v>0</v>
      </c>
      <c r="H25" s="36" t="str">
        <f>IF(ISBLANK(Estimate!D19),"",Estimate!D19)</f>
        <v/>
      </c>
      <c r="I25" s="50">
        <v>6</v>
      </c>
    </row>
    <row r="26" spans="1:9" x14ac:dyDescent="0.25">
      <c r="A26" s="36">
        <f t="shared" si="0"/>
        <v>0</v>
      </c>
      <c r="B26" s="36">
        <f t="shared" si="1"/>
        <v>18</v>
      </c>
      <c r="C26" s="36" t="s">
        <v>166</v>
      </c>
      <c r="D26" s="36" t="s">
        <v>167</v>
      </c>
      <c r="E26" s="36" t="s">
        <v>2</v>
      </c>
      <c r="F26" s="36" t="s">
        <v>172</v>
      </c>
      <c r="G26" s="56">
        <f>Estimate!F24</f>
        <v>0</v>
      </c>
      <c r="I26" s="50">
        <v>6</v>
      </c>
    </row>
    <row r="27" spans="1:9" x14ac:dyDescent="0.25">
      <c r="A27" s="36">
        <f t="shared" si="0"/>
        <v>0</v>
      </c>
      <c r="B27" s="36">
        <f t="shared" si="1"/>
        <v>18</v>
      </c>
      <c r="C27" s="36" t="s">
        <v>166</v>
      </c>
      <c r="D27" s="36" t="s">
        <v>167</v>
      </c>
      <c r="E27" s="36" t="s">
        <v>2</v>
      </c>
      <c r="F27" s="36" t="s">
        <v>173</v>
      </c>
      <c r="G27" s="56">
        <f>Estimate!F25</f>
        <v>0</v>
      </c>
      <c r="I27" s="50">
        <v>6</v>
      </c>
    </row>
    <row r="28" spans="1:9" x14ac:dyDescent="0.25">
      <c r="A28" s="36">
        <f t="shared" si="0"/>
        <v>0</v>
      </c>
      <c r="B28" s="36">
        <f t="shared" si="1"/>
        <v>18</v>
      </c>
      <c r="C28" s="36" t="s">
        <v>166</v>
      </c>
      <c r="D28" s="36" t="s">
        <v>167</v>
      </c>
      <c r="E28" s="36" t="s">
        <v>2</v>
      </c>
      <c r="F28" s="36" t="s">
        <v>174</v>
      </c>
      <c r="G28" s="56">
        <f>Estimate!F26</f>
        <v>0</v>
      </c>
      <c r="I28" s="50">
        <v>6</v>
      </c>
    </row>
    <row r="29" spans="1:9" x14ac:dyDescent="0.25">
      <c r="A29" s="36">
        <f t="shared" si="0"/>
        <v>0</v>
      </c>
      <c r="B29" s="36">
        <f t="shared" si="1"/>
        <v>18</v>
      </c>
      <c r="C29" s="36" t="s">
        <v>166</v>
      </c>
      <c r="D29" s="36" t="s">
        <v>167</v>
      </c>
      <c r="E29" s="36" t="s">
        <v>2</v>
      </c>
      <c r="F29" s="36" t="s">
        <v>175</v>
      </c>
      <c r="G29" s="56">
        <f>Estimate!F31</f>
        <v>0</v>
      </c>
      <c r="I29" s="50">
        <v>6</v>
      </c>
    </row>
    <row r="30" spans="1:9" x14ac:dyDescent="0.25">
      <c r="A30" s="36">
        <f t="shared" si="0"/>
        <v>0</v>
      </c>
      <c r="B30" s="36">
        <f t="shared" si="1"/>
        <v>18</v>
      </c>
      <c r="C30" s="36" t="s">
        <v>166</v>
      </c>
      <c r="D30" s="36" t="s">
        <v>167</v>
      </c>
      <c r="E30" s="36" t="s">
        <v>2</v>
      </c>
      <c r="F30" s="36" t="s">
        <v>176</v>
      </c>
      <c r="G30" s="56">
        <f>Estimate!F32</f>
        <v>0</v>
      </c>
      <c r="I30" s="50">
        <v>6</v>
      </c>
    </row>
    <row r="31" spans="1:9" x14ac:dyDescent="0.25">
      <c r="A31" s="36">
        <f t="shared" si="0"/>
        <v>0</v>
      </c>
      <c r="B31" s="36">
        <f t="shared" si="1"/>
        <v>18</v>
      </c>
      <c r="C31" s="36" t="s">
        <v>166</v>
      </c>
      <c r="D31" s="36" t="s">
        <v>167</v>
      </c>
      <c r="E31" s="36" t="s">
        <v>2</v>
      </c>
      <c r="F31" s="36" t="s">
        <v>177</v>
      </c>
      <c r="G31" s="56">
        <f>Estimate!F33</f>
        <v>0</v>
      </c>
      <c r="I31" s="50">
        <v>6</v>
      </c>
    </row>
    <row r="32" spans="1:9" x14ac:dyDescent="0.25">
      <c r="A32" s="36">
        <f t="shared" si="0"/>
        <v>0</v>
      </c>
      <c r="B32" s="36">
        <f t="shared" si="1"/>
        <v>18</v>
      </c>
      <c r="C32" s="36" t="s">
        <v>166</v>
      </c>
      <c r="D32" s="36" t="s">
        <v>167</v>
      </c>
      <c r="E32" s="36" t="s">
        <v>2</v>
      </c>
      <c r="F32" s="36" t="s">
        <v>178</v>
      </c>
      <c r="G32" s="56">
        <f>Estimate!F37</f>
        <v>0</v>
      </c>
      <c r="I32" s="50">
        <v>6</v>
      </c>
    </row>
    <row r="33" spans="1:9" x14ac:dyDescent="0.25">
      <c r="A33" s="36">
        <f t="shared" si="0"/>
        <v>0</v>
      </c>
      <c r="B33" s="36">
        <f t="shared" si="1"/>
        <v>18</v>
      </c>
      <c r="C33" s="36" t="s">
        <v>166</v>
      </c>
      <c r="D33" s="36" t="s">
        <v>167</v>
      </c>
      <c r="E33" s="36" t="s">
        <v>2</v>
      </c>
      <c r="F33" s="36" t="s">
        <v>179</v>
      </c>
      <c r="G33" s="56">
        <f>Estimate!F38</f>
        <v>0</v>
      </c>
      <c r="I33" s="50">
        <v>6</v>
      </c>
    </row>
    <row r="34" spans="1:9" x14ac:dyDescent="0.25">
      <c r="A34" s="36">
        <f t="shared" si="0"/>
        <v>0</v>
      </c>
      <c r="B34" s="36">
        <f t="shared" si="1"/>
        <v>18</v>
      </c>
      <c r="C34" s="36" t="s">
        <v>166</v>
      </c>
      <c r="D34" s="36" t="s">
        <v>167</v>
      </c>
      <c r="E34" s="36" t="s">
        <v>2</v>
      </c>
      <c r="F34" s="36" t="s">
        <v>180</v>
      </c>
      <c r="G34" s="56">
        <f>Estimate!F39</f>
        <v>0</v>
      </c>
      <c r="I34" s="50">
        <v>6</v>
      </c>
    </row>
    <row r="35" spans="1:9" x14ac:dyDescent="0.25">
      <c r="A35" s="36">
        <f t="shared" si="0"/>
        <v>0</v>
      </c>
      <c r="B35" s="36">
        <f t="shared" si="1"/>
        <v>18</v>
      </c>
      <c r="C35" s="36" t="s">
        <v>166</v>
      </c>
      <c r="D35" s="36" t="s">
        <v>167</v>
      </c>
      <c r="E35" s="36" t="s">
        <v>2</v>
      </c>
      <c r="F35" s="36" t="s">
        <v>181</v>
      </c>
      <c r="G35" s="56">
        <f>Estimate!F40</f>
        <v>0</v>
      </c>
      <c r="I35" s="50">
        <v>6</v>
      </c>
    </row>
    <row r="36" spans="1:9" x14ac:dyDescent="0.25">
      <c r="A36" s="36">
        <f t="shared" si="0"/>
        <v>0</v>
      </c>
      <c r="B36" s="36">
        <f t="shared" si="1"/>
        <v>18</v>
      </c>
      <c r="C36" s="36" t="s">
        <v>166</v>
      </c>
      <c r="D36" s="36" t="s">
        <v>167</v>
      </c>
      <c r="E36" s="36" t="s">
        <v>2</v>
      </c>
      <c r="F36" s="36" t="s">
        <v>10</v>
      </c>
      <c r="G36" s="56">
        <f>Estimate!F44</f>
        <v>0</v>
      </c>
      <c r="I36" s="50">
        <v>6</v>
      </c>
    </row>
    <row r="37" spans="1:9" x14ac:dyDescent="0.25">
      <c r="A37" s="36">
        <f t="shared" si="0"/>
        <v>0</v>
      </c>
      <c r="B37" s="36">
        <f t="shared" si="1"/>
        <v>18</v>
      </c>
      <c r="C37" s="36" t="s">
        <v>166</v>
      </c>
      <c r="D37" s="36" t="s">
        <v>167</v>
      </c>
      <c r="E37" s="36" t="s">
        <v>182</v>
      </c>
      <c r="F37" s="36" t="s">
        <v>169</v>
      </c>
      <c r="G37" s="56">
        <f>Estimate!F48</f>
        <v>0</v>
      </c>
      <c r="I37" s="50">
        <v>6</v>
      </c>
    </row>
    <row r="38" spans="1:9" x14ac:dyDescent="0.25">
      <c r="A38" s="36">
        <f t="shared" si="0"/>
        <v>0</v>
      </c>
      <c r="B38" s="36">
        <f t="shared" si="1"/>
        <v>18</v>
      </c>
      <c r="C38" s="36" t="s">
        <v>183</v>
      </c>
      <c r="D38" s="36" t="s">
        <v>184</v>
      </c>
      <c r="E38" s="36" t="s">
        <v>185</v>
      </c>
      <c r="F38" s="36" t="s">
        <v>169</v>
      </c>
      <c r="G38" s="56">
        <f>Estimate!F52</f>
        <v>0</v>
      </c>
      <c r="I38" s="50">
        <v>6</v>
      </c>
    </row>
    <row r="39" spans="1:9" x14ac:dyDescent="0.25">
      <c r="A39" s="36">
        <f t="shared" si="0"/>
        <v>0</v>
      </c>
      <c r="B39" s="36">
        <f t="shared" si="1"/>
        <v>18</v>
      </c>
      <c r="C39" s="36" t="s">
        <v>183</v>
      </c>
      <c r="D39" s="36" t="s">
        <v>184</v>
      </c>
      <c r="E39" s="36" t="s">
        <v>186</v>
      </c>
      <c r="F39" s="36" t="s">
        <v>169</v>
      </c>
      <c r="G39" s="56">
        <f>Estimate!F55</f>
        <v>0</v>
      </c>
      <c r="I39" s="50">
        <v>6</v>
      </c>
    </row>
    <row r="40" spans="1:9" x14ac:dyDescent="0.25">
      <c r="A40" s="36">
        <f t="shared" si="0"/>
        <v>0</v>
      </c>
      <c r="B40" s="36">
        <f t="shared" si="1"/>
        <v>18</v>
      </c>
      <c r="C40" s="36" t="s">
        <v>183</v>
      </c>
      <c r="D40" s="36" t="s">
        <v>184</v>
      </c>
      <c r="E40" s="36" t="s">
        <v>199</v>
      </c>
      <c r="F40" s="36" t="s">
        <v>169</v>
      </c>
      <c r="G40" s="56">
        <f>Estimate!F57</f>
        <v>0</v>
      </c>
      <c r="I40" s="50">
        <v>6</v>
      </c>
    </row>
    <row r="41" spans="1:9" x14ac:dyDescent="0.25">
      <c r="A41" s="36">
        <f t="shared" si="0"/>
        <v>0</v>
      </c>
      <c r="B41" s="36">
        <f t="shared" si="1"/>
        <v>18</v>
      </c>
      <c r="C41" s="36" t="s">
        <v>183</v>
      </c>
      <c r="D41" s="36" t="s">
        <v>197</v>
      </c>
      <c r="E41" s="36" t="s">
        <v>257</v>
      </c>
      <c r="F41" s="36" t="s">
        <v>169</v>
      </c>
      <c r="G41" s="56">
        <f>EstimatingTool!F12</f>
        <v>0</v>
      </c>
      <c r="I41" s="50">
        <v>6</v>
      </c>
    </row>
    <row r="42" spans="1:9" x14ac:dyDescent="0.25">
      <c r="A42" s="36">
        <f t="shared" si="0"/>
        <v>0</v>
      </c>
      <c r="B42" s="36">
        <f t="shared" si="1"/>
        <v>18</v>
      </c>
      <c r="C42" s="36" t="s">
        <v>183</v>
      </c>
      <c r="D42" s="36" t="s">
        <v>197</v>
      </c>
      <c r="E42" s="36" t="s">
        <v>258</v>
      </c>
      <c r="F42" s="36" t="s">
        <v>169</v>
      </c>
      <c r="G42" s="56">
        <f>EstimatingTool!E13</f>
        <v>0</v>
      </c>
      <c r="I42" s="50">
        <v>6</v>
      </c>
    </row>
    <row r="43" spans="1:9" x14ac:dyDescent="0.25">
      <c r="A43" s="36">
        <f t="shared" si="0"/>
        <v>0</v>
      </c>
      <c r="B43" s="36">
        <f t="shared" si="1"/>
        <v>18</v>
      </c>
      <c r="C43" s="36" t="s">
        <v>183</v>
      </c>
      <c r="D43" s="36" t="s">
        <v>197</v>
      </c>
      <c r="E43" s="36" t="s">
        <v>259</v>
      </c>
      <c r="F43" s="36" t="s">
        <v>169</v>
      </c>
      <c r="G43" s="56">
        <f>EstimatingTool!F15</f>
        <v>0</v>
      </c>
      <c r="I43" s="50">
        <v>6</v>
      </c>
    </row>
    <row r="44" spans="1:9" x14ac:dyDescent="0.25">
      <c r="A44" s="36">
        <f t="shared" si="0"/>
        <v>0</v>
      </c>
      <c r="B44" s="36">
        <f t="shared" si="1"/>
        <v>18</v>
      </c>
      <c r="C44" s="36" t="s">
        <v>183</v>
      </c>
      <c r="D44" s="36" t="s">
        <v>167</v>
      </c>
      <c r="E44" s="36" t="s">
        <v>260</v>
      </c>
      <c r="F44" s="36" t="s">
        <v>169</v>
      </c>
      <c r="G44" s="56">
        <f>EstimatingTool!E18</f>
        <v>0</v>
      </c>
      <c r="I44" s="50">
        <v>6</v>
      </c>
    </row>
    <row r="45" spans="1:9" x14ac:dyDescent="0.25">
      <c r="A45" s="36">
        <f t="shared" si="0"/>
        <v>0</v>
      </c>
      <c r="B45" s="36">
        <f t="shared" si="1"/>
        <v>18</v>
      </c>
      <c r="C45" s="36" t="s">
        <v>166</v>
      </c>
      <c r="D45" s="36" t="s">
        <v>167</v>
      </c>
      <c r="E45" s="36" t="s">
        <v>261</v>
      </c>
      <c r="F45" s="36" t="s">
        <v>169</v>
      </c>
      <c r="G45" s="56">
        <f>EstimatingTool!E19</f>
        <v>0</v>
      </c>
      <c r="I45" s="50">
        <v>6</v>
      </c>
    </row>
    <row r="46" spans="1:9" x14ac:dyDescent="0.25">
      <c r="A46" s="36">
        <f t="shared" si="0"/>
        <v>0</v>
      </c>
      <c r="B46" s="36">
        <f t="shared" si="1"/>
        <v>18</v>
      </c>
      <c r="C46" s="36" t="s">
        <v>166</v>
      </c>
      <c r="D46" s="36" t="s">
        <v>167</v>
      </c>
      <c r="E46" s="36" t="s">
        <v>262</v>
      </c>
      <c r="F46" s="36" t="s">
        <v>169</v>
      </c>
      <c r="G46" s="56">
        <f>EstimatingTool!F20</f>
        <v>0</v>
      </c>
      <c r="I46" s="50">
        <v>6</v>
      </c>
    </row>
    <row r="93" spans="21:22" x14ac:dyDescent="0.25">
      <c r="U93" s="50"/>
    </row>
    <row r="94" spans="21:22" x14ac:dyDescent="0.25">
      <c r="U94" s="50"/>
    </row>
    <row r="95" spans="21:22" x14ac:dyDescent="0.25">
      <c r="U95" s="50"/>
    </row>
    <row r="96" spans="21:22" x14ac:dyDescent="0.25">
      <c r="U96" s="50"/>
      <c r="V96" s="50"/>
    </row>
    <row r="97" spans="21:32" x14ac:dyDescent="0.25">
      <c r="U97" s="50"/>
      <c r="V97" s="50"/>
      <c r="W97" s="50"/>
    </row>
    <row r="98" spans="21:32" x14ac:dyDescent="0.25">
      <c r="U98" s="50"/>
      <c r="V98" s="50"/>
      <c r="W98" s="50"/>
      <c r="X98" s="50"/>
      <c r="Y98" s="50"/>
      <c r="Z98" s="50"/>
      <c r="AA98" s="50"/>
      <c r="AB98" s="50"/>
    </row>
    <row r="99" spans="21:32" x14ac:dyDescent="0.25"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</row>
    <row r="100" spans="21:32" x14ac:dyDescent="0.25"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</row>
    <row r="101" spans="21:32" x14ac:dyDescent="0.25"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</row>
    <row r="102" spans="21:32" x14ac:dyDescent="0.25"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</row>
    <row r="103" spans="21:32" x14ac:dyDescent="0.25"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</row>
    <row r="104" spans="21:32" x14ac:dyDescent="0.25"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</row>
    <row r="105" spans="21:32" x14ac:dyDescent="0.25"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</row>
    <row r="106" spans="21:32" x14ac:dyDescent="0.25"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</row>
    <row r="107" spans="21:32" x14ac:dyDescent="0.25"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</row>
    <row r="108" spans="21:32" x14ac:dyDescent="0.25"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</row>
    <row r="109" spans="21:32" x14ac:dyDescent="0.25"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</row>
    <row r="110" spans="21:32" x14ac:dyDescent="0.25"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</row>
    <row r="111" spans="21:32" x14ac:dyDescent="0.25"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</row>
    <row r="112" spans="21:32" x14ac:dyDescent="0.25"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</row>
    <row r="113" spans="21:33" x14ac:dyDescent="0.25"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78" spans="33:33" x14ac:dyDescent="0.25">
      <c r="AG178" s="51"/>
    </row>
    <row r="179" spans="33:33" x14ac:dyDescent="0.25">
      <c r="AG179" s="51"/>
    </row>
    <row r="180" spans="33:33" x14ac:dyDescent="0.25">
      <c r="AG180" s="51"/>
    </row>
    <row r="181" spans="33:33" x14ac:dyDescent="0.25">
      <c r="AG181" s="51"/>
    </row>
    <row r="182" spans="33:33" x14ac:dyDescent="0.25">
      <c r="AG182" s="51"/>
    </row>
    <row r="183" spans="33:33" x14ac:dyDescent="0.25">
      <c r="AG183" s="51"/>
    </row>
    <row r="184" spans="33:33" x14ac:dyDescent="0.25">
      <c r="AG184" s="51"/>
    </row>
    <row r="185" spans="33:33" x14ac:dyDescent="0.25">
      <c r="AG185" s="51"/>
    </row>
    <row r="186" spans="33:33" x14ac:dyDescent="0.25">
      <c r="AG186" s="51"/>
    </row>
    <row r="187" spans="33:33" x14ac:dyDescent="0.25">
      <c r="AG187" s="51"/>
    </row>
    <row r="188" spans="33:33" x14ac:dyDescent="0.25">
      <c r="AG188" s="51"/>
    </row>
    <row r="189" spans="33:33" x14ac:dyDescent="0.25">
      <c r="AG189" s="51"/>
    </row>
    <row r="190" spans="33:33" x14ac:dyDescent="0.25">
      <c r="AG190" s="51"/>
    </row>
    <row r="191" spans="33:33" x14ac:dyDescent="0.25">
      <c r="AG191" s="51"/>
    </row>
    <row r="192" spans="33:33" x14ac:dyDescent="0.25">
      <c r="AG192" s="51"/>
    </row>
    <row r="193" spans="33:33" x14ac:dyDescent="0.25">
      <c r="AG193" s="51"/>
    </row>
    <row r="194" spans="33:33" x14ac:dyDescent="0.25">
      <c r="AG194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Estimate</vt:lpstr>
      <vt:lpstr>EstimatingTool</vt:lpstr>
      <vt:lpstr>JAC Lookup</vt:lpstr>
      <vt:lpstr>PriorEstimateData</vt:lpstr>
      <vt:lpstr>BasicLookupData</vt:lpstr>
      <vt:lpstr>ReportInfo</vt:lpstr>
      <vt:lpstr>InsufficientAmount</vt:lpstr>
      <vt:lpstr>Estimate!Print_Area</vt:lpstr>
      <vt:lpstr>EstimatingTool!Print_Area</vt:lpstr>
      <vt:lpstr>'JAC Lookup'!Print_Area</vt:lpstr>
      <vt:lpstr>'JAC Lookup'!Print_Titles</vt:lpstr>
      <vt:lpstr>UnExpendedAmount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2018-05-11T18:17:13Z</cp:lastPrinted>
  <dcterms:created xsi:type="dcterms:W3CDTF">2016-03-09T19:14:21Z</dcterms:created>
  <dcterms:modified xsi:type="dcterms:W3CDTF">2018-05-14T13:12:54Z</dcterms:modified>
</cp:coreProperties>
</file>